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indon\Desktop\FMA\Tareas\Tierra - CMT\2026\"/>
    </mc:Choice>
  </mc:AlternateContent>
  <xr:revisionPtr revIDLastSave="0" documentId="13_ncr:1_{C0C62772-03F5-440F-AF8B-3220A0AAA8F9}" xr6:coauthVersionLast="47" xr6:coauthVersionMax="47" xr10:uidLastSave="{00000000-0000-0000-0000-000000000000}"/>
  <bookViews>
    <workbookView xWindow="-28920" yWindow="-120" windowWidth="29040" windowHeight="17520" firstSheet="2" activeTab="2" xr2:uid="{00000000-000D-0000-FFFF-FFFF00000000}"/>
  </bookViews>
  <sheets>
    <sheet name="PREMIADOS" sheetId="23" r:id="rId1"/>
    <sheet name="FINAL" sheetId="15" r:id="rId2"/>
    <sheet name="POST MAQUEDA PARA WEB" sheetId="30" r:id="rId3"/>
    <sheet name="POST GUADAMUR PARA WEB" sheetId="27" r:id="rId4"/>
    <sheet name="POST ALCARRIA PARA WEB" sheetId="25" r:id="rId5"/>
    <sheet name="CLASIFICACIÓN" sheetId="22" r:id="rId6"/>
    <sheet name="06_TCT NUEVO BAZTÁN" sheetId="24" r:id="rId7"/>
    <sheet name="05_RS NAVALCARNERO" sheetId="21" r:id="rId8"/>
    <sheet name="04_RALLYE CAM" sheetId="19" r:id="rId9"/>
    <sheet name="03_TCT MAQUEDA" sheetId="28" r:id="rId10"/>
    <sheet name="02_TCT GUADAMUR" sheetId="26" r:id="rId11"/>
    <sheet name="01_RS ALCARRIA" sheetId="13" r:id="rId12"/>
    <sheet name="Participación" sheetId="7" r:id="rId13"/>
    <sheet name="Comparativa" sheetId="8" r:id="rId14"/>
    <sheet name="Gráficos" sheetId="10" r:id="rId15"/>
    <sheet name="Datos puntos" sheetId="16" r:id="rId16"/>
    <sheet name="Hoja2" sheetId="20" r:id="rId17"/>
  </sheets>
  <definedNames>
    <definedName name="_xlnm._FilterDatabase" localSheetId="5" hidden="1">CLASIFICACIÓN!$C$393:$S$393</definedName>
    <definedName name="_xlnm._FilterDatabase" localSheetId="15" hidden="1">'Datos puntos'!#REF!</definedName>
    <definedName name="_xlnm._FilterDatabase" localSheetId="1" hidden="1">FINAL!$C$348:$S$348</definedName>
    <definedName name="_xlnm._FilterDatabase" localSheetId="16" hidden="1">Hoja2!$K$3:$L$3</definedName>
    <definedName name="_xlnm._FilterDatabase" localSheetId="4" hidden="1">'POST ALCARRIA PARA WEB'!$C$289:$S$289</definedName>
    <definedName name="_xlnm._FilterDatabase" localSheetId="3" hidden="1">'POST GUADAMUR PARA WEB'!$C$335:$S$335</definedName>
    <definedName name="_xlnm._FilterDatabase" localSheetId="2" hidden="1">'POST MAQUEDA PARA WEB'!$C$369:$S$369</definedName>
    <definedName name="_xlnm.Print_Area" localSheetId="11">'01_RS ALCARRIA'!$A$1:$P$66</definedName>
    <definedName name="_xlnm.Print_Area" localSheetId="10">'02_TCT GUADAMUR'!$A$1:$P$66</definedName>
    <definedName name="_xlnm.Print_Area" localSheetId="9">'03_TCT MAQUEDA'!$A$1:$P$66</definedName>
    <definedName name="_xlnm.Print_Area" localSheetId="8">'04_RALLYE CAM'!$A$1:$P$65</definedName>
    <definedName name="_xlnm.Print_Area" localSheetId="7">'05_RS NAVALCARNERO'!$A$1:$P$50</definedName>
    <definedName name="_xlnm.Print_Area" localSheetId="6">'06_TCT NUEVO BAZTÁN'!$A$1:$P$50</definedName>
    <definedName name="_xlnm.Print_Area" localSheetId="5">CLASIFICACIÓN!$B$1:$X$481</definedName>
    <definedName name="_xlnm.Print_Area" localSheetId="13">Comparativa!$A$1:$N$118</definedName>
    <definedName name="_xlnm.Print_Area" localSheetId="1">FINAL!$B$1:$U$403</definedName>
    <definedName name="_xlnm.Print_Area" localSheetId="14">Gráficos!$E$1:$P$76</definedName>
    <definedName name="_xlnm.Print_Area" localSheetId="4">'POST ALCARRIA PARA WEB'!$B$1:$X$368</definedName>
    <definedName name="_xlnm.Print_Area" localSheetId="3">'POST GUADAMUR PARA WEB'!$B$1:$X$424</definedName>
    <definedName name="_xlnm.Print_Area" localSheetId="2">'POST MAQUEDA PARA WEB'!$B$1:$X$454</definedName>
    <definedName name="Print_Area" localSheetId="5">CLASIFICACIÓN!$B$1:$X$250</definedName>
    <definedName name="Print_Area" localSheetId="1">FINAL!$B$1:$U$165</definedName>
    <definedName name="Print_Area" localSheetId="4">'POST ALCARRIA PARA WEB'!$B$1:$X$181</definedName>
    <definedName name="Print_Area" localSheetId="3">'POST GUADAMUR PARA WEB'!$B$1:$X$219</definedName>
    <definedName name="Print_Area" localSheetId="2">'POST MAQUEDA PARA WEB'!$B$1:$X$249</definedName>
    <definedName name="_xlnm.Print_Titles" localSheetId="11">'01_RS ALCARRIA'!$A:$J,'01_RS ALCARRIA'!$1:$5</definedName>
    <definedName name="_xlnm.Print_Titles" localSheetId="10">'02_TCT GUADAMUR'!$A:$J,'02_TCT GUADAMUR'!$1:$5</definedName>
    <definedName name="_xlnm.Print_Titles" localSheetId="9">'03_TCT MAQUEDA'!$A:$J,'03_TCT MAQUEDA'!$1:$5</definedName>
    <definedName name="_xlnm.Print_Titles" localSheetId="8">'04_RALLYE CAM'!$A:$J,'04_RALLYE CAM'!$1:$5</definedName>
    <definedName name="_xlnm.Print_Titles" localSheetId="7">'05_RS NAVALCARNERO'!$A:$J,'05_RS NAVALCARNERO'!$1:$5</definedName>
    <definedName name="_xlnm.Print_Titles" localSheetId="6">'06_TCT NUEVO BAZTÁN'!$A:$J,'06_TCT NUEVO BAZTÁN'!$1:$5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32" i="22" l="1"/>
  <c r="S333" i="22"/>
  <c r="T333" i="22" s="1"/>
  <c r="U333" i="22" s="1"/>
  <c r="R332" i="22"/>
  <c r="R333" i="22"/>
  <c r="S319" i="22"/>
  <c r="S320" i="22"/>
  <c r="S321" i="22"/>
  <c r="S322" i="22"/>
  <c r="R319" i="22"/>
  <c r="R320" i="22"/>
  <c r="R321" i="22"/>
  <c r="R322" i="22"/>
  <c r="S306" i="22"/>
  <c r="S307" i="22"/>
  <c r="S308" i="22"/>
  <c r="S309" i="22"/>
  <c r="R306" i="22"/>
  <c r="R307" i="22"/>
  <c r="R308" i="22"/>
  <c r="R309" i="22"/>
  <c r="S331" i="22"/>
  <c r="R331" i="22"/>
  <c r="S318" i="22"/>
  <c r="R318" i="22"/>
  <c r="S305" i="22"/>
  <c r="R305" i="22"/>
  <c r="V290" i="22"/>
  <c r="U322" i="30"/>
  <c r="U321" i="30"/>
  <c r="U312" i="30"/>
  <c r="U311" i="30"/>
  <c r="U302" i="30"/>
  <c r="U301" i="30"/>
  <c r="M181" i="22"/>
  <c r="M132" i="22"/>
  <c r="M197" i="22"/>
  <c r="M147" i="22"/>
  <c r="M235" i="22"/>
  <c r="M237" i="22"/>
  <c r="M174" i="30"/>
  <c r="M185" i="30"/>
  <c r="M137" i="30"/>
  <c r="M126" i="30"/>
  <c r="M235" i="30"/>
  <c r="M233" i="30"/>
  <c r="X400" i="30"/>
  <c r="X399" i="30"/>
  <c r="X401" i="30"/>
  <c r="X402" i="30"/>
  <c r="X398" i="30"/>
  <c r="X389" i="30"/>
  <c r="X388" i="30"/>
  <c r="X390" i="30"/>
  <c r="X387" i="30"/>
  <c r="X412" i="30"/>
  <c r="X415" i="30"/>
  <c r="X413" i="30"/>
  <c r="X417" i="30"/>
  <c r="X416" i="30"/>
  <c r="X414" i="30"/>
  <c r="X426" i="30"/>
  <c r="X429" i="30"/>
  <c r="X430" i="30"/>
  <c r="X427" i="30"/>
  <c r="X425" i="30"/>
  <c r="X428" i="30"/>
  <c r="G354" i="30"/>
  <c r="M178" i="30"/>
  <c r="L178" i="30"/>
  <c r="J190" i="30"/>
  <c r="I190" i="30"/>
  <c r="H178" i="30"/>
  <c r="K86" i="30"/>
  <c r="I38" i="30"/>
  <c r="J38" i="30"/>
  <c r="N38" i="30"/>
  <c r="K18" i="30"/>
  <c r="Z428" i="30"/>
  <c r="Y428" i="30" s="1"/>
  <c r="Z427" i="30"/>
  <c r="Y427" i="30" s="1"/>
  <c r="Z426" i="30"/>
  <c r="Y426" i="30" s="1"/>
  <c r="Z425" i="30"/>
  <c r="Y425" i="30" s="1"/>
  <c r="X424" i="30"/>
  <c r="Z424" i="30"/>
  <c r="Y424" i="30" s="1"/>
  <c r="Z417" i="30"/>
  <c r="Y417" i="30" s="1"/>
  <c r="Z416" i="30"/>
  <c r="Y416" i="30" s="1"/>
  <c r="Z415" i="30"/>
  <c r="Y415" i="30" s="1"/>
  <c r="Z414" i="30"/>
  <c r="Y414" i="30" s="1"/>
  <c r="Z413" i="30"/>
  <c r="Y413" i="30" s="1"/>
  <c r="Z412" i="30"/>
  <c r="Y412" i="30" s="1"/>
  <c r="Z402" i="30"/>
  <c r="Y402" i="30" s="1"/>
  <c r="Z401" i="30"/>
  <c r="Y401" i="30" s="1"/>
  <c r="Z400" i="30"/>
  <c r="Y400" i="30" s="1"/>
  <c r="Z399" i="30"/>
  <c r="Y399" i="30" s="1"/>
  <c r="Z398" i="30"/>
  <c r="Y398" i="30" s="1"/>
  <c r="Z390" i="30"/>
  <c r="Y390" i="30" s="1"/>
  <c r="Z389" i="30"/>
  <c r="Y389" i="30" s="1"/>
  <c r="Z388" i="30"/>
  <c r="Y388" i="30" s="1"/>
  <c r="Z387" i="30"/>
  <c r="Y387" i="30" s="1"/>
  <c r="M379" i="30"/>
  <c r="J379" i="30"/>
  <c r="G378" i="30"/>
  <c r="G377" i="30"/>
  <c r="M376" i="30"/>
  <c r="J376" i="30"/>
  <c r="G376" i="30"/>
  <c r="M375" i="30"/>
  <c r="J375" i="30"/>
  <c r="G375" i="30"/>
  <c r="M373" i="30"/>
  <c r="G373" i="30"/>
  <c r="M372" i="30"/>
  <c r="J372" i="30"/>
  <c r="G372" i="30"/>
  <c r="M371" i="30"/>
  <c r="J371" i="30"/>
  <c r="G371" i="30"/>
  <c r="M370" i="30"/>
  <c r="J370" i="30"/>
  <c r="G370" i="30"/>
  <c r="J374" i="30"/>
  <c r="G374" i="30"/>
  <c r="M357" i="30"/>
  <c r="J358" i="30"/>
  <c r="M355" i="30"/>
  <c r="J355" i="30"/>
  <c r="J352" i="30"/>
  <c r="G352" i="30"/>
  <c r="M351" i="30"/>
  <c r="J351" i="30"/>
  <c r="G351" i="30"/>
  <c r="M356" i="30"/>
  <c r="J356" i="30"/>
  <c r="J354" i="30"/>
  <c r="G359" i="30"/>
  <c r="M353" i="30"/>
  <c r="J353" i="30"/>
  <c r="G353" i="30"/>
  <c r="M341" i="30"/>
  <c r="J341" i="30"/>
  <c r="G341" i="30"/>
  <c r="G331" i="30"/>
  <c r="J321" i="30"/>
  <c r="I321" i="30"/>
  <c r="G321" i="30"/>
  <c r="F321" i="30"/>
  <c r="J311" i="30"/>
  <c r="I311" i="30"/>
  <c r="G311" i="30"/>
  <c r="F311" i="30"/>
  <c r="J301" i="30"/>
  <c r="I301" i="30"/>
  <c r="G301" i="30"/>
  <c r="F301" i="30"/>
  <c r="M292" i="30"/>
  <c r="L292" i="30"/>
  <c r="J291" i="30"/>
  <c r="I291" i="30"/>
  <c r="G290" i="30"/>
  <c r="F290" i="30"/>
  <c r="M288" i="30"/>
  <c r="L288" i="30"/>
  <c r="G288" i="30"/>
  <c r="F288" i="30"/>
  <c r="G289" i="30"/>
  <c r="F289" i="30"/>
  <c r="N287" i="30"/>
  <c r="J287" i="30"/>
  <c r="I287" i="30"/>
  <c r="G287" i="30"/>
  <c r="F287" i="30"/>
  <c r="M286" i="30"/>
  <c r="L286" i="30"/>
  <c r="J286" i="30"/>
  <c r="I286" i="30"/>
  <c r="G286" i="30"/>
  <c r="F286" i="30"/>
  <c r="J277" i="30"/>
  <c r="I277" i="30"/>
  <c r="M275" i="30"/>
  <c r="L275" i="30"/>
  <c r="G275" i="30"/>
  <c r="F275" i="30"/>
  <c r="M274" i="30"/>
  <c r="L274" i="30"/>
  <c r="G274" i="30"/>
  <c r="F274" i="30"/>
  <c r="G276" i="30"/>
  <c r="F276" i="30"/>
  <c r="N273" i="30"/>
  <c r="J273" i="30"/>
  <c r="I273" i="30"/>
  <c r="G273" i="30"/>
  <c r="F273" i="30"/>
  <c r="M272" i="30"/>
  <c r="L272" i="30"/>
  <c r="J272" i="30"/>
  <c r="I272" i="30"/>
  <c r="G272" i="30"/>
  <c r="F272" i="30"/>
  <c r="M263" i="30"/>
  <c r="L263" i="30"/>
  <c r="J262" i="30"/>
  <c r="I262" i="30"/>
  <c r="M261" i="30"/>
  <c r="L261" i="30"/>
  <c r="J261" i="30"/>
  <c r="I261" i="30"/>
  <c r="N260" i="30"/>
  <c r="J260" i="30"/>
  <c r="I260" i="30"/>
  <c r="G260" i="30"/>
  <c r="F260" i="30"/>
  <c r="M259" i="30"/>
  <c r="L259" i="30"/>
  <c r="J259" i="30"/>
  <c r="I259" i="30"/>
  <c r="G259" i="30"/>
  <c r="F259" i="30"/>
  <c r="J250" i="30"/>
  <c r="I250" i="30"/>
  <c r="M249" i="30"/>
  <c r="L249" i="30"/>
  <c r="J249" i="30"/>
  <c r="I249" i="30"/>
  <c r="N248" i="30"/>
  <c r="J248" i="30"/>
  <c r="I248" i="30"/>
  <c r="G248" i="30"/>
  <c r="F248" i="30"/>
  <c r="M247" i="30"/>
  <c r="L247" i="30"/>
  <c r="J247" i="30"/>
  <c r="I247" i="30"/>
  <c r="G247" i="30"/>
  <c r="F247" i="30"/>
  <c r="L235" i="30"/>
  <c r="L233" i="30"/>
  <c r="J233" i="30"/>
  <c r="I233" i="30"/>
  <c r="J234" i="30"/>
  <c r="I234" i="30"/>
  <c r="J232" i="30"/>
  <c r="I232" i="30"/>
  <c r="G232" i="30"/>
  <c r="F232" i="30"/>
  <c r="M222" i="30"/>
  <c r="L222" i="30"/>
  <c r="M220" i="30"/>
  <c r="L220" i="30"/>
  <c r="J220" i="30"/>
  <c r="I220" i="30"/>
  <c r="H220" i="30"/>
  <c r="J221" i="30"/>
  <c r="I221" i="30"/>
  <c r="H221" i="30"/>
  <c r="J219" i="30"/>
  <c r="I219" i="30"/>
  <c r="G219" i="30"/>
  <c r="F219" i="30"/>
  <c r="N200" i="30"/>
  <c r="N199" i="30"/>
  <c r="N198" i="30"/>
  <c r="N197" i="30"/>
  <c r="N196" i="30"/>
  <c r="L185" i="30"/>
  <c r="M172" i="30"/>
  <c r="L172" i="30"/>
  <c r="M170" i="30"/>
  <c r="L170" i="30"/>
  <c r="AB192" i="30"/>
  <c r="M167" i="30"/>
  <c r="L167" i="30"/>
  <c r="J167" i="30"/>
  <c r="I167" i="30"/>
  <c r="AB191" i="30"/>
  <c r="M188" i="30"/>
  <c r="L188" i="30"/>
  <c r="AB190" i="30"/>
  <c r="N195" i="30"/>
  <c r="AB189" i="30"/>
  <c r="M187" i="30"/>
  <c r="L187" i="30"/>
  <c r="AB188" i="30"/>
  <c r="K194" i="30"/>
  <c r="AB187" i="30"/>
  <c r="M180" i="30"/>
  <c r="L180" i="30"/>
  <c r="J180" i="30"/>
  <c r="I180" i="30"/>
  <c r="AB186" i="30"/>
  <c r="AB185" i="30"/>
  <c r="J184" i="30"/>
  <c r="I184" i="30"/>
  <c r="AB184" i="30"/>
  <c r="N179" i="30"/>
  <c r="J179" i="30"/>
  <c r="I179" i="30"/>
  <c r="AB183" i="30"/>
  <c r="J176" i="30"/>
  <c r="I176" i="30"/>
  <c r="AB182" i="30"/>
  <c r="AB181" i="30"/>
  <c r="AB180" i="30"/>
  <c r="M186" i="30"/>
  <c r="L186" i="30"/>
  <c r="AB179" i="30"/>
  <c r="L174" i="30"/>
  <c r="J174" i="30"/>
  <c r="I174" i="30"/>
  <c r="AB178" i="30"/>
  <c r="E189" i="30" s="1"/>
  <c r="M189" i="30"/>
  <c r="L189" i="30"/>
  <c r="AB177" i="30"/>
  <c r="J181" i="30"/>
  <c r="I181" i="30"/>
  <c r="AB176" i="30"/>
  <c r="J175" i="30"/>
  <c r="I175" i="30"/>
  <c r="G175" i="30"/>
  <c r="F175" i="30"/>
  <c r="AB175" i="30"/>
  <c r="G192" i="30"/>
  <c r="F192" i="30"/>
  <c r="AC174" i="30"/>
  <c r="AB174" i="30"/>
  <c r="E191" i="30" s="1"/>
  <c r="M191" i="30"/>
  <c r="L191" i="30"/>
  <c r="G191" i="30"/>
  <c r="F191" i="30"/>
  <c r="AB173" i="30"/>
  <c r="E173" i="30" s="1"/>
  <c r="M173" i="30"/>
  <c r="L173" i="30"/>
  <c r="J173" i="30"/>
  <c r="I173" i="30"/>
  <c r="G173" i="30"/>
  <c r="F173" i="30"/>
  <c r="AB172" i="30"/>
  <c r="E183" i="30" s="1"/>
  <c r="M183" i="30"/>
  <c r="L183" i="30"/>
  <c r="J183" i="30"/>
  <c r="I183" i="30"/>
  <c r="G183" i="30"/>
  <c r="F183" i="30"/>
  <c r="AB171" i="30"/>
  <c r="G182" i="30"/>
  <c r="F182" i="30"/>
  <c r="AB170" i="30"/>
  <c r="N177" i="30"/>
  <c r="J177" i="30"/>
  <c r="I177" i="30"/>
  <c r="G177" i="30"/>
  <c r="F177" i="30"/>
  <c r="AB169" i="30"/>
  <c r="J166" i="30"/>
  <c r="I166" i="30"/>
  <c r="G166" i="30"/>
  <c r="F166" i="30"/>
  <c r="AB168" i="30"/>
  <c r="E168" i="30" s="1"/>
  <c r="M168" i="30"/>
  <c r="L168" i="30"/>
  <c r="J168" i="30"/>
  <c r="I168" i="30"/>
  <c r="G168" i="30"/>
  <c r="F168" i="30"/>
  <c r="AB167" i="30"/>
  <c r="G171" i="30"/>
  <c r="F171" i="30"/>
  <c r="AB166" i="30"/>
  <c r="G169" i="30"/>
  <c r="F169" i="30"/>
  <c r="AB165" i="30"/>
  <c r="M164" i="30"/>
  <c r="L164" i="30"/>
  <c r="J164" i="30"/>
  <c r="I164" i="30"/>
  <c r="G164" i="30"/>
  <c r="F164" i="30"/>
  <c r="AB164" i="30"/>
  <c r="N165" i="30"/>
  <c r="J165" i="30"/>
  <c r="I165" i="30"/>
  <c r="G165" i="30"/>
  <c r="F165" i="30"/>
  <c r="AB163" i="30"/>
  <c r="E163" i="30" s="1"/>
  <c r="M163" i="30"/>
  <c r="L163" i="30"/>
  <c r="J163" i="30"/>
  <c r="I163" i="30"/>
  <c r="G163" i="30"/>
  <c r="F163" i="30"/>
  <c r="AB162" i="30"/>
  <c r="E162" i="30" s="1"/>
  <c r="M162" i="30"/>
  <c r="L162" i="30"/>
  <c r="J162" i="30"/>
  <c r="I162" i="30"/>
  <c r="G162" i="30"/>
  <c r="F162" i="30"/>
  <c r="N150" i="30"/>
  <c r="N149" i="30"/>
  <c r="N148" i="30"/>
  <c r="N147" i="30"/>
  <c r="L137" i="30"/>
  <c r="M124" i="30"/>
  <c r="L124" i="30"/>
  <c r="M122" i="30"/>
  <c r="L122" i="30"/>
  <c r="M140" i="30"/>
  <c r="L140" i="30"/>
  <c r="N146" i="30"/>
  <c r="M139" i="30"/>
  <c r="L139" i="30"/>
  <c r="AB140" i="30"/>
  <c r="N145" i="30"/>
  <c r="AB139" i="30"/>
  <c r="M132" i="30"/>
  <c r="L132" i="30"/>
  <c r="J132" i="30"/>
  <c r="I132" i="30"/>
  <c r="AB138" i="30"/>
  <c r="J136" i="30"/>
  <c r="I136" i="30"/>
  <c r="AB137" i="30"/>
  <c r="N131" i="30"/>
  <c r="J131" i="30"/>
  <c r="I131" i="30"/>
  <c r="AB136" i="30"/>
  <c r="J129" i="30"/>
  <c r="I129" i="30"/>
  <c r="AB135" i="30"/>
  <c r="M119" i="30"/>
  <c r="L119" i="30"/>
  <c r="J119" i="30"/>
  <c r="I119" i="30"/>
  <c r="AB134" i="30"/>
  <c r="M127" i="30"/>
  <c r="L127" i="30"/>
  <c r="J127" i="30"/>
  <c r="I127" i="30"/>
  <c r="AB133" i="30"/>
  <c r="AB132" i="30"/>
  <c r="M138" i="30"/>
  <c r="L138" i="30"/>
  <c r="AB131" i="30"/>
  <c r="L126" i="30"/>
  <c r="J126" i="30"/>
  <c r="I126" i="30"/>
  <c r="AB130" i="30"/>
  <c r="M141" i="30"/>
  <c r="L141" i="30"/>
  <c r="AB129" i="30"/>
  <c r="J133" i="30"/>
  <c r="I133" i="30"/>
  <c r="AB128" i="30"/>
  <c r="E128" i="30" s="1"/>
  <c r="J128" i="30"/>
  <c r="I128" i="30"/>
  <c r="G128" i="30"/>
  <c r="F128" i="30"/>
  <c r="AB127" i="30"/>
  <c r="G143" i="30"/>
  <c r="F143" i="30"/>
  <c r="AC126" i="30"/>
  <c r="AB126" i="30"/>
  <c r="M142" i="30"/>
  <c r="L142" i="30"/>
  <c r="G142" i="30"/>
  <c r="F142" i="30"/>
  <c r="AB125" i="30"/>
  <c r="E125" i="30" s="1"/>
  <c r="M125" i="30"/>
  <c r="L125" i="30"/>
  <c r="J125" i="30"/>
  <c r="I125" i="30"/>
  <c r="G125" i="30"/>
  <c r="F125" i="30"/>
  <c r="AB124" i="30"/>
  <c r="M135" i="30"/>
  <c r="L135" i="30"/>
  <c r="J135" i="30"/>
  <c r="I135" i="30"/>
  <c r="G135" i="30"/>
  <c r="F135" i="30"/>
  <c r="AB123" i="30"/>
  <c r="G134" i="30"/>
  <c r="F134" i="30"/>
  <c r="AB122" i="30"/>
  <c r="N130" i="30"/>
  <c r="J130" i="30"/>
  <c r="I130" i="30"/>
  <c r="G130" i="30"/>
  <c r="F130" i="30"/>
  <c r="AB121" i="30"/>
  <c r="J118" i="30"/>
  <c r="I118" i="30"/>
  <c r="G118" i="30"/>
  <c r="F118" i="30"/>
  <c r="AB120" i="30"/>
  <c r="E120" i="30" s="1"/>
  <c r="M120" i="30"/>
  <c r="L120" i="30"/>
  <c r="J120" i="30"/>
  <c r="I120" i="30"/>
  <c r="G120" i="30"/>
  <c r="F120" i="30"/>
  <c r="AB119" i="30"/>
  <c r="G123" i="30"/>
  <c r="F123" i="30"/>
  <c r="AB118" i="30"/>
  <c r="G121" i="30"/>
  <c r="F121" i="30"/>
  <c r="AB117" i="30"/>
  <c r="M116" i="30"/>
  <c r="L116" i="30"/>
  <c r="J116" i="30"/>
  <c r="I116" i="30"/>
  <c r="G116" i="30"/>
  <c r="F116" i="30"/>
  <c r="AB116" i="30"/>
  <c r="N117" i="30"/>
  <c r="J117" i="30"/>
  <c r="I117" i="30"/>
  <c r="G117" i="30"/>
  <c r="F117" i="30"/>
  <c r="AB115" i="30"/>
  <c r="E115" i="30" s="1"/>
  <c r="M115" i="30"/>
  <c r="L115" i="30"/>
  <c r="J115" i="30"/>
  <c r="I115" i="30"/>
  <c r="G115" i="30"/>
  <c r="F115" i="30"/>
  <c r="AB114" i="30"/>
  <c r="E114" i="30" s="1"/>
  <c r="M114" i="30"/>
  <c r="L114" i="30"/>
  <c r="J114" i="30"/>
  <c r="I114" i="30"/>
  <c r="G114" i="30"/>
  <c r="F114" i="30"/>
  <c r="N99" i="30"/>
  <c r="N98" i="30"/>
  <c r="N97" i="30"/>
  <c r="M82" i="30"/>
  <c r="L82" i="30"/>
  <c r="AB95" i="30"/>
  <c r="M72" i="30"/>
  <c r="L72" i="30"/>
  <c r="AB94" i="30"/>
  <c r="M69" i="30"/>
  <c r="L69" i="30"/>
  <c r="AB93" i="30"/>
  <c r="M88" i="30"/>
  <c r="L88" i="30"/>
  <c r="AB92" i="30"/>
  <c r="N96" i="30"/>
  <c r="AB91" i="30"/>
  <c r="M84" i="30"/>
  <c r="L84" i="30"/>
  <c r="AB90" i="30"/>
  <c r="K95" i="30"/>
  <c r="AB89" i="30"/>
  <c r="M80" i="30"/>
  <c r="L80" i="30"/>
  <c r="J80" i="30"/>
  <c r="I80" i="30"/>
  <c r="AB88" i="30"/>
  <c r="N87" i="30"/>
  <c r="J87" i="30"/>
  <c r="I87" i="30"/>
  <c r="AB87" i="30"/>
  <c r="N79" i="30"/>
  <c r="J79" i="30"/>
  <c r="I79" i="30"/>
  <c r="AB86" i="30"/>
  <c r="J74" i="30"/>
  <c r="I74" i="30"/>
  <c r="AB85" i="30"/>
  <c r="M63" i="30"/>
  <c r="L63" i="30"/>
  <c r="J63" i="30"/>
  <c r="I63" i="30"/>
  <c r="AB84" i="30"/>
  <c r="H94" i="30"/>
  <c r="D94" i="30"/>
  <c r="AB83" i="30"/>
  <c r="H93" i="30"/>
  <c r="D93" i="30"/>
  <c r="AB82" i="30"/>
  <c r="M83" i="30"/>
  <c r="L83" i="30"/>
  <c r="H83" i="30"/>
  <c r="AB81" i="30"/>
  <c r="M75" i="30"/>
  <c r="L75" i="30"/>
  <c r="J75" i="30"/>
  <c r="I75" i="30"/>
  <c r="H75" i="30"/>
  <c r="D75" i="30"/>
  <c r="AB80" i="30"/>
  <c r="M86" i="30"/>
  <c r="L86" i="30"/>
  <c r="H86" i="30"/>
  <c r="D86" i="30"/>
  <c r="AB79" i="30"/>
  <c r="J78" i="30"/>
  <c r="I78" i="30"/>
  <c r="H78" i="30"/>
  <c r="D78" i="30"/>
  <c r="AB78" i="30"/>
  <c r="M71" i="30"/>
  <c r="L71" i="30"/>
  <c r="J71" i="30"/>
  <c r="I71" i="30"/>
  <c r="G71" i="30"/>
  <c r="F71" i="30"/>
  <c r="AB77" i="30"/>
  <c r="J76" i="30"/>
  <c r="I76" i="30"/>
  <c r="G76" i="30"/>
  <c r="F76" i="30"/>
  <c r="AB76" i="30"/>
  <c r="G92" i="30"/>
  <c r="F92" i="30"/>
  <c r="D92" i="30"/>
  <c r="AB75" i="30"/>
  <c r="M91" i="30"/>
  <c r="L91" i="30"/>
  <c r="G91" i="30"/>
  <c r="F91" i="30"/>
  <c r="D91" i="30"/>
  <c r="AB74" i="30"/>
  <c r="E77" i="30" s="1"/>
  <c r="M77" i="30"/>
  <c r="L77" i="30"/>
  <c r="J77" i="30"/>
  <c r="I77" i="30"/>
  <c r="G77" i="30"/>
  <c r="F77" i="30"/>
  <c r="D77" i="30"/>
  <c r="AB73" i="30"/>
  <c r="E89" i="30" s="1"/>
  <c r="M89" i="30"/>
  <c r="L89" i="30"/>
  <c r="J89" i="30"/>
  <c r="I89" i="30"/>
  <c r="G89" i="30"/>
  <c r="F89" i="30"/>
  <c r="D89" i="30"/>
  <c r="AB72" i="30"/>
  <c r="J85" i="30"/>
  <c r="I85" i="30"/>
  <c r="G85" i="30"/>
  <c r="F85" i="30"/>
  <c r="AB71" i="30"/>
  <c r="N90" i="30"/>
  <c r="J90" i="30"/>
  <c r="I90" i="30"/>
  <c r="G90" i="30"/>
  <c r="F90" i="30"/>
  <c r="D90" i="30"/>
  <c r="AB70" i="30"/>
  <c r="E81" i="30" s="1"/>
  <c r="G81" i="30"/>
  <c r="F81" i="30"/>
  <c r="D81" i="30"/>
  <c r="AB69" i="30"/>
  <c r="M67" i="30"/>
  <c r="L67" i="30"/>
  <c r="J67" i="30"/>
  <c r="I67" i="30"/>
  <c r="G67" i="30"/>
  <c r="F67" i="30"/>
  <c r="D67" i="30"/>
  <c r="AB68" i="30"/>
  <c r="J66" i="30"/>
  <c r="I66" i="30"/>
  <c r="G66" i="30"/>
  <c r="F66" i="30"/>
  <c r="D66" i="30"/>
  <c r="AB67" i="30"/>
  <c r="J62" i="30"/>
  <c r="I62" i="30"/>
  <c r="G62" i="30"/>
  <c r="F62" i="30"/>
  <c r="D62" i="30"/>
  <c r="AB66" i="30"/>
  <c r="M68" i="30"/>
  <c r="L68" i="30"/>
  <c r="J68" i="30"/>
  <c r="I68" i="30"/>
  <c r="G68" i="30"/>
  <c r="F68" i="30"/>
  <c r="D68" i="30"/>
  <c r="AB65" i="30"/>
  <c r="E73" i="30" s="1"/>
  <c r="N73" i="30"/>
  <c r="G73" i="30"/>
  <c r="F73" i="30"/>
  <c r="D73" i="30"/>
  <c r="AB64" i="30"/>
  <c r="G70" i="30"/>
  <c r="F70" i="30"/>
  <c r="D70" i="30"/>
  <c r="AB63" i="30"/>
  <c r="M60" i="30"/>
  <c r="L60" i="30"/>
  <c r="J60" i="30"/>
  <c r="I60" i="30"/>
  <c r="G60" i="30"/>
  <c r="F60" i="30"/>
  <c r="D60" i="30"/>
  <c r="AB62" i="30"/>
  <c r="N61" i="30"/>
  <c r="J61" i="30"/>
  <c r="I61" i="30"/>
  <c r="G61" i="30"/>
  <c r="F61" i="30"/>
  <c r="D61" i="30"/>
  <c r="AB61" i="30"/>
  <c r="G65" i="30"/>
  <c r="F65" i="30"/>
  <c r="AB60" i="30"/>
  <c r="G64" i="30"/>
  <c r="F64" i="30"/>
  <c r="D64" i="30"/>
  <c r="AB59" i="30"/>
  <c r="E59" i="30" s="1"/>
  <c r="M59" i="30"/>
  <c r="L59" i="30"/>
  <c r="J59" i="30"/>
  <c r="I59" i="30"/>
  <c r="G59" i="30"/>
  <c r="F59" i="30"/>
  <c r="D59" i="30"/>
  <c r="AB58" i="30"/>
  <c r="E58" i="30" s="1"/>
  <c r="M58" i="30"/>
  <c r="L58" i="30"/>
  <c r="J58" i="30"/>
  <c r="I58" i="30"/>
  <c r="G58" i="30"/>
  <c r="F58" i="30"/>
  <c r="D58" i="30"/>
  <c r="N46" i="30"/>
  <c r="N45" i="30"/>
  <c r="M30" i="30"/>
  <c r="L30" i="30"/>
  <c r="M20" i="30"/>
  <c r="L20" i="30"/>
  <c r="M17" i="30"/>
  <c r="L17" i="30"/>
  <c r="M36" i="30"/>
  <c r="L36" i="30"/>
  <c r="N44" i="30"/>
  <c r="M32" i="30"/>
  <c r="L32" i="30"/>
  <c r="AB38" i="30"/>
  <c r="N43" i="30"/>
  <c r="AB37" i="30"/>
  <c r="M28" i="30"/>
  <c r="L28" i="30"/>
  <c r="J28" i="30"/>
  <c r="I28" i="30"/>
  <c r="AB36" i="30"/>
  <c r="N35" i="30"/>
  <c r="J35" i="30"/>
  <c r="I35" i="30"/>
  <c r="AB35" i="30"/>
  <c r="N27" i="30"/>
  <c r="J27" i="30"/>
  <c r="I27" i="30"/>
  <c r="AB34" i="30"/>
  <c r="J22" i="30"/>
  <c r="I22" i="30"/>
  <c r="AB33" i="30"/>
  <c r="M11" i="30"/>
  <c r="L11" i="30"/>
  <c r="J11" i="30"/>
  <c r="I11" i="30"/>
  <c r="AB32" i="30"/>
  <c r="H42" i="30"/>
  <c r="D42" i="30"/>
  <c r="AB31" i="30"/>
  <c r="H41" i="30"/>
  <c r="D41" i="30"/>
  <c r="AB30" i="30"/>
  <c r="M31" i="30"/>
  <c r="L31" i="30"/>
  <c r="H31" i="30"/>
  <c r="AB29" i="30"/>
  <c r="M23" i="30"/>
  <c r="L23" i="30"/>
  <c r="J23" i="30"/>
  <c r="I23" i="30"/>
  <c r="H23" i="30"/>
  <c r="D23" i="30"/>
  <c r="AB28" i="30"/>
  <c r="M34" i="30"/>
  <c r="L34" i="30"/>
  <c r="H34" i="30"/>
  <c r="D34" i="30"/>
  <c r="AB27" i="30"/>
  <c r="J26" i="30"/>
  <c r="I26" i="30"/>
  <c r="H26" i="30"/>
  <c r="D26" i="30"/>
  <c r="AB26" i="30"/>
  <c r="M19" i="30"/>
  <c r="L19" i="30"/>
  <c r="J19" i="30"/>
  <c r="I19" i="30"/>
  <c r="G19" i="30"/>
  <c r="F19" i="30"/>
  <c r="AB25" i="30"/>
  <c r="J24" i="30"/>
  <c r="I24" i="30"/>
  <c r="G24" i="30"/>
  <c r="F24" i="30"/>
  <c r="AB24" i="30"/>
  <c r="G40" i="30"/>
  <c r="F40" i="30"/>
  <c r="D40" i="30"/>
  <c r="AB23" i="30"/>
  <c r="M39" i="30"/>
  <c r="L39" i="30"/>
  <c r="G39" i="30"/>
  <c r="F39" i="30"/>
  <c r="D39" i="30"/>
  <c r="AB22" i="30"/>
  <c r="E25" i="30" s="1"/>
  <c r="M25" i="30"/>
  <c r="L25" i="30"/>
  <c r="J25" i="30"/>
  <c r="I25" i="30"/>
  <c r="G25" i="30"/>
  <c r="F25" i="30"/>
  <c r="D25" i="30"/>
  <c r="AB21" i="30"/>
  <c r="M37" i="30"/>
  <c r="L37" i="30"/>
  <c r="J37" i="30"/>
  <c r="I37" i="30"/>
  <c r="G37" i="30"/>
  <c r="F37" i="30"/>
  <c r="D37" i="30"/>
  <c r="AB20" i="30"/>
  <c r="J33" i="30"/>
  <c r="I33" i="30"/>
  <c r="G33" i="30"/>
  <c r="F33" i="30"/>
  <c r="AB19" i="30"/>
  <c r="E38" i="30" s="1"/>
  <c r="G38" i="30"/>
  <c r="F38" i="30"/>
  <c r="D38" i="30"/>
  <c r="AB18" i="30"/>
  <c r="E29" i="30" s="1"/>
  <c r="G29" i="30"/>
  <c r="F29" i="30"/>
  <c r="D29" i="30"/>
  <c r="AB17" i="30"/>
  <c r="M15" i="30"/>
  <c r="L15" i="30"/>
  <c r="J15" i="30"/>
  <c r="I15" i="30"/>
  <c r="G15" i="30"/>
  <c r="F15" i="30"/>
  <c r="D15" i="30"/>
  <c r="AB16" i="30"/>
  <c r="E14" i="30" s="1"/>
  <c r="J14" i="30"/>
  <c r="I14" i="30"/>
  <c r="G14" i="30"/>
  <c r="F14" i="30"/>
  <c r="D14" i="30"/>
  <c r="AB15" i="30"/>
  <c r="J10" i="30"/>
  <c r="I10" i="30"/>
  <c r="G10" i="30"/>
  <c r="F10" i="30"/>
  <c r="D10" i="30"/>
  <c r="AB14" i="30"/>
  <c r="M16" i="30"/>
  <c r="L16" i="30"/>
  <c r="J16" i="30"/>
  <c r="I16" i="30"/>
  <c r="G16" i="30"/>
  <c r="F16" i="30"/>
  <c r="D16" i="30"/>
  <c r="AB13" i="30"/>
  <c r="N21" i="30"/>
  <c r="G21" i="30"/>
  <c r="F21" i="30"/>
  <c r="D21" i="30"/>
  <c r="AB12" i="30"/>
  <c r="G18" i="30"/>
  <c r="F18" i="30"/>
  <c r="D18" i="30"/>
  <c r="AB11" i="30"/>
  <c r="M8" i="30"/>
  <c r="L8" i="30"/>
  <c r="J8" i="30"/>
  <c r="I8" i="30"/>
  <c r="G8" i="30"/>
  <c r="F8" i="30"/>
  <c r="D8" i="30"/>
  <c r="AB10" i="30"/>
  <c r="N9" i="30"/>
  <c r="J9" i="30"/>
  <c r="I9" i="30"/>
  <c r="G9" i="30"/>
  <c r="F9" i="30"/>
  <c r="D9" i="30"/>
  <c r="AB9" i="30"/>
  <c r="G13" i="30"/>
  <c r="F13" i="30"/>
  <c r="AB8" i="30"/>
  <c r="G12" i="30"/>
  <c r="F12" i="30"/>
  <c r="D12" i="30"/>
  <c r="AB7" i="30"/>
  <c r="E7" i="30" s="1"/>
  <c r="M7" i="30"/>
  <c r="L7" i="30"/>
  <c r="J7" i="30"/>
  <c r="I7" i="30"/>
  <c r="G7" i="30"/>
  <c r="F7" i="30"/>
  <c r="D7" i="30"/>
  <c r="AB6" i="30"/>
  <c r="E6" i="30" s="1"/>
  <c r="M6" i="30"/>
  <c r="L6" i="30"/>
  <c r="J6" i="30"/>
  <c r="I6" i="30"/>
  <c r="G6" i="30"/>
  <c r="F6" i="30"/>
  <c r="D6" i="30"/>
  <c r="M224" i="22"/>
  <c r="M96" i="22"/>
  <c r="M44" i="22"/>
  <c r="M222" i="22"/>
  <c r="M81" i="22"/>
  <c r="M29" i="22"/>
  <c r="V296" i="22"/>
  <c r="U296" i="22"/>
  <c r="W296" i="22" s="1"/>
  <c r="S296" i="22"/>
  <c r="R296" i="22"/>
  <c r="P296" i="22"/>
  <c r="O296" i="22"/>
  <c r="M296" i="22"/>
  <c r="L296" i="22"/>
  <c r="J296" i="22"/>
  <c r="I296" i="22"/>
  <c r="K296" i="22" s="1"/>
  <c r="G296" i="22"/>
  <c r="F296" i="22"/>
  <c r="M354" i="22"/>
  <c r="V202" i="22"/>
  <c r="U202" i="22"/>
  <c r="S202" i="22"/>
  <c r="R202" i="22"/>
  <c r="P202" i="22"/>
  <c r="O202" i="22"/>
  <c r="N202" i="22"/>
  <c r="J202" i="22"/>
  <c r="I202" i="22"/>
  <c r="G202" i="22"/>
  <c r="F202" i="22"/>
  <c r="H202" i="22" s="1"/>
  <c r="F99" i="22"/>
  <c r="G99" i="22"/>
  <c r="I99" i="22"/>
  <c r="J99" i="22"/>
  <c r="N99" i="22"/>
  <c r="O99" i="22"/>
  <c r="P99" i="22"/>
  <c r="R99" i="22"/>
  <c r="S99" i="22"/>
  <c r="U99" i="22"/>
  <c r="V99" i="22"/>
  <c r="V201" i="22"/>
  <c r="U201" i="22"/>
  <c r="S201" i="22"/>
  <c r="R201" i="22"/>
  <c r="P201" i="22"/>
  <c r="O201" i="22"/>
  <c r="N201" i="22"/>
  <c r="J201" i="22"/>
  <c r="I201" i="22"/>
  <c r="G201" i="22"/>
  <c r="F201" i="22"/>
  <c r="V151" i="22"/>
  <c r="U151" i="22"/>
  <c r="S151" i="22"/>
  <c r="R151" i="22"/>
  <c r="P151" i="22"/>
  <c r="O151" i="22"/>
  <c r="N151" i="22"/>
  <c r="J151" i="22"/>
  <c r="I151" i="22"/>
  <c r="G151" i="22"/>
  <c r="F151" i="22"/>
  <c r="V384" i="22"/>
  <c r="S384" i="22"/>
  <c r="P384" i="22"/>
  <c r="J384" i="22"/>
  <c r="G384" i="22"/>
  <c r="V200" i="22"/>
  <c r="U200" i="22"/>
  <c r="S200" i="22"/>
  <c r="R200" i="22"/>
  <c r="P200" i="22"/>
  <c r="O200" i="22"/>
  <c r="N200" i="22"/>
  <c r="J200" i="22"/>
  <c r="I200" i="22"/>
  <c r="G200" i="22"/>
  <c r="F200" i="22"/>
  <c r="V150" i="22"/>
  <c r="U150" i="22"/>
  <c r="S150" i="22"/>
  <c r="R150" i="22"/>
  <c r="P150" i="22"/>
  <c r="O150" i="22"/>
  <c r="N150" i="22"/>
  <c r="J150" i="22"/>
  <c r="I150" i="22"/>
  <c r="G150" i="22"/>
  <c r="F150" i="22"/>
  <c r="V98" i="22"/>
  <c r="U98" i="22"/>
  <c r="S98" i="22"/>
  <c r="R98" i="22"/>
  <c r="P98" i="22"/>
  <c r="O98" i="22"/>
  <c r="N98" i="22"/>
  <c r="J98" i="22"/>
  <c r="I98" i="22"/>
  <c r="G98" i="22"/>
  <c r="F98" i="22"/>
  <c r="V46" i="22"/>
  <c r="U46" i="22"/>
  <c r="S46" i="22"/>
  <c r="R46" i="22"/>
  <c r="Q46" i="22"/>
  <c r="N46" i="22"/>
  <c r="J46" i="22"/>
  <c r="I46" i="22"/>
  <c r="G46" i="22"/>
  <c r="F46" i="22"/>
  <c r="V199" i="22"/>
  <c r="U199" i="22"/>
  <c r="S199" i="22"/>
  <c r="R199" i="22"/>
  <c r="P199" i="22"/>
  <c r="O199" i="22"/>
  <c r="N199" i="22"/>
  <c r="J199" i="22"/>
  <c r="I199" i="22"/>
  <c r="G199" i="22"/>
  <c r="F199" i="22"/>
  <c r="V149" i="22"/>
  <c r="U149" i="22"/>
  <c r="S149" i="22"/>
  <c r="R149" i="22"/>
  <c r="P149" i="22"/>
  <c r="O149" i="22"/>
  <c r="N149" i="22"/>
  <c r="J149" i="22"/>
  <c r="I149" i="22"/>
  <c r="G149" i="22"/>
  <c r="F149" i="22"/>
  <c r="V97" i="22"/>
  <c r="U97" i="22"/>
  <c r="S97" i="22"/>
  <c r="R97" i="22"/>
  <c r="P97" i="22"/>
  <c r="O97" i="22"/>
  <c r="N97" i="22"/>
  <c r="J97" i="22"/>
  <c r="I97" i="22"/>
  <c r="G97" i="22"/>
  <c r="F97" i="22"/>
  <c r="V45" i="22"/>
  <c r="U45" i="22"/>
  <c r="S45" i="22"/>
  <c r="R45" i="22"/>
  <c r="Q45" i="22"/>
  <c r="J45" i="22"/>
  <c r="I45" i="22"/>
  <c r="G45" i="22"/>
  <c r="F45" i="22"/>
  <c r="F198" i="22"/>
  <c r="G198" i="22"/>
  <c r="I198" i="22"/>
  <c r="J198" i="22"/>
  <c r="N198" i="22"/>
  <c r="O198" i="22"/>
  <c r="P198" i="22"/>
  <c r="R198" i="22"/>
  <c r="S198" i="22"/>
  <c r="U198" i="22"/>
  <c r="V198" i="22"/>
  <c r="F148" i="22"/>
  <c r="G148" i="22"/>
  <c r="I148" i="22"/>
  <c r="J148" i="22"/>
  <c r="N148" i="22"/>
  <c r="O148" i="22"/>
  <c r="P148" i="22"/>
  <c r="R148" i="22"/>
  <c r="S148" i="22"/>
  <c r="U148" i="22"/>
  <c r="V148" i="22"/>
  <c r="J30" i="22"/>
  <c r="I30" i="22"/>
  <c r="V197" i="22"/>
  <c r="U197" i="22"/>
  <c r="S197" i="22"/>
  <c r="R197" i="22"/>
  <c r="P197" i="22"/>
  <c r="O197" i="22"/>
  <c r="L197" i="22"/>
  <c r="J197" i="22"/>
  <c r="I197" i="22"/>
  <c r="G197" i="22"/>
  <c r="F197" i="22"/>
  <c r="V147" i="22"/>
  <c r="U147" i="22"/>
  <c r="S147" i="22"/>
  <c r="R147" i="22"/>
  <c r="P147" i="22"/>
  <c r="O147" i="22"/>
  <c r="L147" i="22"/>
  <c r="J147" i="22"/>
  <c r="I147" i="22"/>
  <c r="G147" i="22"/>
  <c r="F147" i="22"/>
  <c r="V237" i="22"/>
  <c r="U237" i="22"/>
  <c r="S237" i="22"/>
  <c r="R237" i="22"/>
  <c r="P237" i="22"/>
  <c r="O237" i="22"/>
  <c r="L237" i="22"/>
  <c r="J237" i="22"/>
  <c r="I237" i="22"/>
  <c r="G237" i="22"/>
  <c r="F237" i="22"/>
  <c r="V224" i="22"/>
  <c r="U224" i="22"/>
  <c r="S224" i="22"/>
  <c r="R224" i="22"/>
  <c r="P224" i="22"/>
  <c r="O224" i="22"/>
  <c r="L224" i="22"/>
  <c r="J224" i="22"/>
  <c r="I224" i="22"/>
  <c r="G224" i="22"/>
  <c r="F224" i="22"/>
  <c r="V96" i="22"/>
  <c r="U96" i="22"/>
  <c r="S96" i="22"/>
  <c r="R96" i="22"/>
  <c r="P96" i="22"/>
  <c r="O96" i="22"/>
  <c r="L96" i="22"/>
  <c r="J96" i="22"/>
  <c r="I96" i="22"/>
  <c r="G96" i="22"/>
  <c r="F96" i="22"/>
  <c r="V44" i="22"/>
  <c r="U44" i="22"/>
  <c r="S44" i="22"/>
  <c r="R44" i="22"/>
  <c r="Q44" i="22"/>
  <c r="L44" i="22"/>
  <c r="J44" i="22"/>
  <c r="I44" i="22"/>
  <c r="G44" i="22"/>
  <c r="F44" i="22"/>
  <c r="J184" i="22"/>
  <c r="I184" i="22"/>
  <c r="I185" i="22"/>
  <c r="M188" i="22"/>
  <c r="L188" i="22"/>
  <c r="F196" i="22"/>
  <c r="G196" i="22"/>
  <c r="I196" i="22"/>
  <c r="J196" i="22"/>
  <c r="L196" i="22"/>
  <c r="M196" i="22"/>
  <c r="O196" i="22"/>
  <c r="P196" i="22"/>
  <c r="R196" i="22"/>
  <c r="S196" i="22"/>
  <c r="U196" i="22"/>
  <c r="V196" i="22"/>
  <c r="F146" i="22"/>
  <c r="G146" i="22"/>
  <c r="I146" i="22"/>
  <c r="J146" i="22"/>
  <c r="L146" i="22"/>
  <c r="M146" i="22"/>
  <c r="O146" i="22"/>
  <c r="P146" i="22"/>
  <c r="R146" i="22"/>
  <c r="S146" i="22"/>
  <c r="U146" i="22"/>
  <c r="V146" i="22"/>
  <c r="F145" i="22"/>
  <c r="G145" i="22"/>
  <c r="I145" i="22"/>
  <c r="J145" i="22"/>
  <c r="L145" i="22"/>
  <c r="M145" i="22"/>
  <c r="O145" i="22"/>
  <c r="P145" i="22"/>
  <c r="R145" i="22"/>
  <c r="S145" i="22"/>
  <c r="U145" i="22"/>
  <c r="V145" i="22"/>
  <c r="V43" i="22"/>
  <c r="U43" i="22"/>
  <c r="S43" i="22"/>
  <c r="R43" i="22"/>
  <c r="Q43" i="22"/>
  <c r="M43" i="22"/>
  <c r="L43" i="22"/>
  <c r="J43" i="22"/>
  <c r="I43" i="22"/>
  <c r="G43" i="22"/>
  <c r="F43" i="22"/>
  <c r="O195" i="22"/>
  <c r="P195" i="22"/>
  <c r="R195" i="22"/>
  <c r="S195" i="22"/>
  <c r="U195" i="22"/>
  <c r="V195" i="22"/>
  <c r="M195" i="22"/>
  <c r="L195" i="22"/>
  <c r="J195" i="22"/>
  <c r="I195" i="22"/>
  <c r="G195" i="22"/>
  <c r="F195" i="22"/>
  <c r="M395" i="22"/>
  <c r="M396" i="22"/>
  <c r="M397" i="22"/>
  <c r="M398" i="22"/>
  <c r="M399" i="22"/>
  <c r="M400" i="22"/>
  <c r="M401" i="22"/>
  <c r="M402" i="22"/>
  <c r="M403" i="22"/>
  <c r="M404" i="22"/>
  <c r="M394" i="22"/>
  <c r="M375" i="22"/>
  <c r="M376" i="22"/>
  <c r="M377" i="22"/>
  <c r="M378" i="22"/>
  <c r="M381" i="22"/>
  <c r="M382" i="22"/>
  <c r="M383" i="22"/>
  <c r="M374" i="22"/>
  <c r="M332" i="22"/>
  <c r="M333" i="22"/>
  <c r="M331" i="22"/>
  <c r="L331" i="22"/>
  <c r="M319" i="22"/>
  <c r="M320" i="22"/>
  <c r="M321" i="22"/>
  <c r="M322" i="22"/>
  <c r="M318" i="22"/>
  <c r="L318" i="22"/>
  <c r="M306" i="22"/>
  <c r="M307" i="22"/>
  <c r="M308" i="22"/>
  <c r="M309" i="22"/>
  <c r="L306" i="22"/>
  <c r="L307" i="22"/>
  <c r="L308" i="22"/>
  <c r="L309" i="22"/>
  <c r="M305" i="22"/>
  <c r="L305" i="22"/>
  <c r="M292" i="22"/>
  <c r="M293" i="22"/>
  <c r="M294" i="22"/>
  <c r="M295" i="22"/>
  <c r="L292" i="22"/>
  <c r="L293" i="22"/>
  <c r="L294" i="22"/>
  <c r="L295" i="22"/>
  <c r="M290" i="22"/>
  <c r="L290" i="22"/>
  <c r="M278" i="22"/>
  <c r="M279" i="22"/>
  <c r="M280" i="22"/>
  <c r="M281" i="22"/>
  <c r="M276" i="22"/>
  <c r="L278" i="22"/>
  <c r="L279" i="22"/>
  <c r="L280" i="22"/>
  <c r="L281" i="22"/>
  <c r="L276" i="22"/>
  <c r="M262" i="22"/>
  <c r="M263" i="22"/>
  <c r="M264" i="22"/>
  <c r="M265" i="22"/>
  <c r="M266" i="22"/>
  <c r="L262" i="22"/>
  <c r="L263" i="22"/>
  <c r="L264" i="22"/>
  <c r="L265" i="22"/>
  <c r="L266" i="22"/>
  <c r="L260" i="22"/>
  <c r="M260" i="22"/>
  <c r="M250" i="22"/>
  <c r="M251" i="22"/>
  <c r="M248" i="22"/>
  <c r="L250" i="22"/>
  <c r="L251" i="22"/>
  <c r="L248" i="22"/>
  <c r="M234" i="22"/>
  <c r="M236" i="22"/>
  <c r="M233" i="22"/>
  <c r="L234" i="22"/>
  <c r="L235" i="22"/>
  <c r="L236" i="22"/>
  <c r="L233" i="22"/>
  <c r="M221" i="22"/>
  <c r="M223" i="22"/>
  <c r="L221" i="22"/>
  <c r="L222" i="22"/>
  <c r="L223" i="22"/>
  <c r="M220" i="22"/>
  <c r="L220" i="22"/>
  <c r="M165" i="22"/>
  <c r="M167" i="22"/>
  <c r="M168" i="22"/>
  <c r="M169" i="22"/>
  <c r="M170" i="22"/>
  <c r="M171" i="22"/>
  <c r="M173" i="22"/>
  <c r="M174" i="22"/>
  <c r="M175" i="22"/>
  <c r="M176" i="22"/>
  <c r="M177" i="22"/>
  <c r="M178" i="22"/>
  <c r="M179" i="22"/>
  <c r="M180" i="22"/>
  <c r="M182" i="22"/>
  <c r="M183" i="22"/>
  <c r="M185" i="22"/>
  <c r="M187" i="22"/>
  <c r="M189" i="22"/>
  <c r="M190" i="22"/>
  <c r="M191" i="22"/>
  <c r="M193" i="22"/>
  <c r="M194" i="22"/>
  <c r="L165" i="22"/>
  <c r="L167" i="22"/>
  <c r="L168" i="22"/>
  <c r="L169" i="22"/>
  <c r="L170" i="22"/>
  <c r="L171" i="22"/>
  <c r="L173" i="22"/>
  <c r="L174" i="22"/>
  <c r="L175" i="22"/>
  <c r="L176" i="22"/>
  <c r="L177" i="22"/>
  <c r="L178" i="22"/>
  <c r="L179" i="22"/>
  <c r="L180" i="22"/>
  <c r="L181" i="22"/>
  <c r="L182" i="22"/>
  <c r="L183" i="22"/>
  <c r="L185" i="22"/>
  <c r="L187" i="22"/>
  <c r="L189" i="22"/>
  <c r="L190" i="22"/>
  <c r="L191" i="22"/>
  <c r="L193" i="22"/>
  <c r="L194" i="22"/>
  <c r="M164" i="22"/>
  <c r="L164" i="22"/>
  <c r="M116" i="22"/>
  <c r="M118" i="22"/>
  <c r="M119" i="22"/>
  <c r="M120" i="22"/>
  <c r="M121" i="22"/>
  <c r="M122" i="22"/>
  <c r="M124" i="22"/>
  <c r="M125" i="22"/>
  <c r="M126" i="22"/>
  <c r="M127" i="22"/>
  <c r="M128" i="22"/>
  <c r="M129" i="22"/>
  <c r="M130" i="22"/>
  <c r="M131" i="22"/>
  <c r="M133" i="22"/>
  <c r="M134" i="22"/>
  <c r="M135" i="22"/>
  <c r="M136" i="22"/>
  <c r="M137" i="22"/>
  <c r="M139" i="22"/>
  <c r="M140" i="22"/>
  <c r="M142" i="22"/>
  <c r="M144" i="22"/>
  <c r="M152" i="22"/>
  <c r="L116" i="22"/>
  <c r="L118" i="22"/>
  <c r="L119" i="22"/>
  <c r="L120" i="22"/>
  <c r="L121" i="22"/>
  <c r="L122" i="22"/>
  <c r="L124" i="22"/>
  <c r="L125" i="22"/>
  <c r="L126" i="22"/>
  <c r="L127" i="22"/>
  <c r="L128" i="22"/>
  <c r="L129" i="22"/>
  <c r="L130" i="22"/>
  <c r="L131" i="22"/>
  <c r="L132" i="22"/>
  <c r="L133" i="22"/>
  <c r="L134" i="22"/>
  <c r="L135" i="22"/>
  <c r="L136" i="22"/>
  <c r="L137" i="22"/>
  <c r="L139" i="22"/>
  <c r="L140" i="22"/>
  <c r="L142" i="22"/>
  <c r="L144" i="22"/>
  <c r="L152" i="22"/>
  <c r="M115" i="22"/>
  <c r="L115" i="22"/>
  <c r="M59" i="22"/>
  <c r="M60" i="22"/>
  <c r="M61" i="22"/>
  <c r="M63" i="22"/>
  <c r="M64" i="22"/>
  <c r="M66" i="22"/>
  <c r="M67" i="22"/>
  <c r="M68" i="22"/>
  <c r="M69" i="22"/>
  <c r="M70" i="22"/>
  <c r="M72" i="22"/>
  <c r="M73" i="22"/>
  <c r="M74" i="22"/>
  <c r="M75" i="22"/>
  <c r="M76" i="22"/>
  <c r="M77" i="22"/>
  <c r="M78" i="22"/>
  <c r="M79" i="22"/>
  <c r="M80" i="22"/>
  <c r="M82" i="22"/>
  <c r="M83" i="22"/>
  <c r="M84" i="22"/>
  <c r="M85" i="22"/>
  <c r="M86" i="22"/>
  <c r="M89" i="22"/>
  <c r="M90" i="22"/>
  <c r="M91" i="22"/>
  <c r="M93" i="22"/>
  <c r="M94" i="22"/>
  <c r="M95" i="22"/>
  <c r="M100" i="22"/>
  <c r="L59" i="22"/>
  <c r="L60" i="22"/>
  <c r="L61" i="22"/>
  <c r="L63" i="22"/>
  <c r="L64" i="22"/>
  <c r="L66" i="22"/>
  <c r="L67" i="22"/>
  <c r="L68" i="22"/>
  <c r="L69" i="22"/>
  <c r="L70" i="22"/>
  <c r="L72" i="22"/>
  <c r="L73" i="22"/>
  <c r="L74" i="22"/>
  <c r="L75" i="22"/>
  <c r="L76" i="22"/>
  <c r="L77" i="22"/>
  <c r="L78" i="22"/>
  <c r="L79" i="22"/>
  <c r="L80" i="22"/>
  <c r="L81" i="22"/>
  <c r="L82" i="22"/>
  <c r="L83" i="22"/>
  <c r="L84" i="22"/>
  <c r="L85" i="22"/>
  <c r="L86" i="22"/>
  <c r="L89" i="22"/>
  <c r="L90" i="22"/>
  <c r="L91" i="22"/>
  <c r="L93" i="22"/>
  <c r="L94" i="22"/>
  <c r="L95" i="22"/>
  <c r="L100" i="22"/>
  <c r="M58" i="22"/>
  <c r="L58" i="22"/>
  <c r="M7" i="22"/>
  <c r="M8" i="22"/>
  <c r="M9" i="22"/>
  <c r="M11" i="22"/>
  <c r="M12" i="22"/>
  <c r="M14" i="22"/>
  <c r="M15" i="22"/>
  <c r="M16" i="22"/>
  <c r="M17" i="22"/>
  <c r="M18" i="22"/>
  <c r="M20" i="22"/>
  <c r="M21" i="22"/>
  <c r="M22" i="22"/>
  <c r="M23" i="22"/>
  <c r="M24" i="22"/>
  <c r="M25" i="22"/>
  <c r="M26" i="22"/>
  <c r="M27" i="22"/>
  <c r="M28" i="22"/>
  <c r="M30" i="22"/>
  <c r="M31" i="22"/>
  <c r="M32" i="22"/>
  <c r="M33" i="22"/>
  <c r="M34" i="22"/>
  <c r="M37" i="22"/>
  <c r="M39" i="22"/>
  <c r="M41" i="22"/>
  <c r="M42" i="22"/>
  <c r="L42" i="22"/>
  <c r="L41" i="22"/>
  <c r="L39" i="22"/>
  <c r="L37" i="22"/>
  <c r="L34" i="22"/>
  <c r="L33" i="22"/>
  <c r="L32" i="22"/>
  <c r="L31" i="22"/>
  <c r="L30" i="22"/>
  <c r="L29" i="22"/>
  <c r="L28" i="22"/>
  <c r="L27" i="22"/>
  <c r="L26" i="22"/>
  <c r="L25" i="22"/>
  <c r="L24" i="22"/>
  <c r="L23" i="22"/>
  <c r="L22" i="22"/>
  <c r="L21" i="22"/>
  <c r="L20" i="22"/>
  <c r="L18" i="22"/>
  <c r="L17" i="22"/>
  <c r="L16" i="22"/>
  <c r="L15" i="22"/>
  <c r="L14" i="22"/>
  <c r="L12" i="22"/>
  <c r="L11" i="22"/>
  <c r="L9" i="22"/>
  <c r="L8" i="22"/>
  <c r="L7" i="22"/>
  <c r="M6" i="22"/>
  <c r="L6" i="22"/>
  <c r="U50" i="28"/>
  <c r="P50" i="28"/>
  <c r="P41" i="28"/>
  <c r="P42" i="28"/>
  <c r="P43" i="28"/>
  <c r="U41" i="28"/>
  <c r="U42" i="28"/>
  <c r="U43" i="28"/>
  <c r="U45" i="28"/>
  <c r="U6" i="28"/>
  <c r="U7" i="28"/>
  <c r="U8" i="28"/>
  <c r="U9" i="28"/>
  <c r="U10" i="28"/>
  <c r="U11" i="28"/>
  <c r="U12" i="28"/>
  <c r="U13" i="28"/>
  <c r="U14" i="28"/>
  <c r="U15" i="28"/>
  <c r="U16" i="28"/>
  <c r="U17" i="28"/>
  <c r="U18" i="28"/>
  <c r="U19" i="28"/>
  <c r="U20" i="28"/>
  <c r="U21" i="28"/>
  <c r="U22" i="28"/>
  <c r="U23" i="28"/>
  <c r="U24" i="28"/>
  <c r="U25" i="28"/>
  <c r="U26" i="28"/>
  <c r="U27" i="28"/>
  <c r="U28" i="28"/>
  <c r="U29" i="28"/>
  <c r="U30" i="28"/>
  <c r="U31" i="28"/>
  <c r="U32" i="28"/>
  <c r="U33" i="28"/>
  <c r="U34" i="28"/>
  <c r="U35" i="28"/>
  <c r="U36" i="28"/>
  <c r="P6" i="28"/>
  <c r="P7" i="28"/>
  <c r="P8" i="28"/>
  <c r="P9" i="28"/>
  <c r="P10" i="28"/>
  <c r="P11" i="28"/>
  <c r="P12" i="28"/>
  <c r="P13" i="28"/>
  <c r="P14" i="28"/>
  <c r="P15" i="28"/>
  <c r="P16" i="28"/>
  <c r="P17" i="28"/>
  <c r="P18" i="28"/>
  <c r="P19" i="28"/>
  <c r="P20" i="28"/>
  <c r="P21" i="28"/>
  <c r="P22" i="28"/>
  <c r="P23" i="28"/>
  <c r="P24" i="28"/>
  <c r="P25" i="28"/>
  <c r="P26" i="28"/>
  <c r="P27" i="28"/>
  <c r="P28" i="28"/>
  <c r="P29" i="28"/>
  <c r="P30" i="28"/>
  <c r="P31" i="28"/>
  <c r="P32" i="28"/>
  <c r="P33" i="28"/>
  <c r="P34" i="28"/>
  <c r="P35" i="28"/>
  <c r="P36" i="28"/>
  <c r="M67" i="28"/>
  <c r="K67" i="28"/>
  <c r="N67" i="28" s="1"/>
  <c r="J67" i="28"/>
  <c r="L67" i="28" s="1"/>
  <c r="M66" i="28"/>
  <c r="K66" i="28"/>
  <c r="N66" i="28" s="1"/>
  <c r="J66" i="28"/>
  <c r="L66" i="28" s="1"/>
  <c r="J65" i="28"/>
  <c r="L65" i="28" s="1"/>
  <c r="M65" i="28" s="1"/>
  <c r="T61" i="28"/>
  <c r="R61" i="28"/>
  <c r="Q61" i="28"/>
  <c r="P61" i="28"/>
  <c r="O61" i="28"/>
  <c r="M61" i="28"/>
  <c r="U61" i="28" s="1"/>
  <c r="L61" i="28"/>
  <c r="S61" i="28" s="1"/>
  <c r="T60" i="28"/>
  <c r="S60" i="28"/>
  <c r="R60" i="28"/>
  <c r="Q60" i="28"/>
  <c r="O60" i="28"/>
  <c r="N60" i="28"/>
  <c r="M60" i="28"/>
  <c r="U60" i="28" s="1"/>
  <c r="L60" i="28"/>
  <c r="T59" i="28"/>
  <c r="R59" i="28"/>
  <c r="Q59" i="28"/>
  <c r="P59" i="28"/>
  <c r="O59" i="28"/>
  <c r="M59" i="28"/>
  <c r="U59" i="28" s="1"/>
  <c r="L59" i="28"/>
  <c r="N59" i="28" s="1"/>
  <c r="Q58" i="28"/>
  <c r="R58" i="28" s="1"/>
  <c r="L58" i="28"/>
  <c r="N58" i="28" s="1"/>
  <c r="O58" i="28" s="1"/>
  <c r="T55" i="28"/>
  <c r="R55" i="28"/>
  <c r="U55" i="28" s="1"/>
  <c r="Q55" i="28"/>
  <c r="S55" i="28" s="1"/>
  <c r="O55" i="28"/>
  <c r="M55" i="28"/>
  <c r="P55" i="28" s="1"/>
  <c r="L55" i="28"/>
  <c r="N55" i="28" s="1"/>
  <c r="Q54" i="28"/>
  <c r="S54" i="28" s="1"/>
  <c r="T54" i="28" s="1"/>
  <c r="L54" i="28"/>
  <c r="N54" i="28" s="1"/>
  <c r="O54" i="28" s="1"/>
  <c r="Q53" i="28"/>
  <c r="S53" i="28" s="1"/>
  <c r="T53" i="28" s="1"/>
  <c r="L53" i="28"/>
  <c r="N53" i="28" s="1"/>
  <c r="O53" i="28" s="1"/>
  <c r="Q52" i="28"/>
  <c r="R52" i="28" s="1"/>
  <c r="L52" i="28"/>
  <c r="N52" i="28" s="1"/>
  <c r="O52" i="28" s="1"/>
  <c r="Q51" i="28"/>
  <c r="S51" i="28" s="1"/>
  <c r="T51" i="28" s="1"/>
  <c r="L51" i="28"/>
  <c r="N51" i="28" s="1"/>
  <c r="O51" i="28" s="1"/>
  <c r="S50" i="28"/>
  <c r="T50" i="28" s="1"/>
  <c r="Q50" i="28"/>
  <c r="R50" i="28" s="1"/>
  <c r="O50" i="28"/>
  <c r="N50" i="28"/>
  <c r="L50" i="28"/>
  <c r="M50" i="28" s="1"/>
  <c r="T45" i="28"/>
  <c r="R45" i="28"/>
  <c r="Q45" i="28"/>
  <c r="S45" i="28" s="1"/>
  <c r="O45" i="28"/>
  <c r="M45" i="28"/>
  <c r="P45" i="28" s="1"/>
  <c r="L45" i="28"/>
  <c r="N45" i="28" s="1"/>
  <c r="Q44" i="28"/>
  <c r="S44" i="28" s="1"/>
  <c r="T44" i="28" s="1"/>
  <c r="L44" i="28"/>
  <c r="N44" i="28" s="1"/>
  <c r="O44" i="28" s="1"/>
  <c r="Q43" i="28"/>
  <c r="S43" i="28" s="1"/>
  <c r="T43" i="28" s="1"/>
  <c r="L43" i="28"/>
  <c r="N43" i="28" s="1"/>
  <c r="O43" i="28" s="1"/>
  <c r="Q42" i="28"/>
  <c r="R42" i="28" s="1"/>
  <c r="L42" i="28"/>
  <c r="M42" i="28" s="1"/>
  <c r="Q41" i="28"/>
  <c r="S41" i="28" s="1"/>
  <c r="T41" i="28" s="1"/>
  <c r="M41" i="28"/>
  <c r="L41" i="28"/>
  <c r="N41" i="28" s="1"/>
  <c r="O41" i="28" s="1"/>
  <c r="T36" i="28"/>
  <c r="S36" i="28"/>
  <c r="R36" i="28"/>
  <c r="Q36" i="28"/>
  <c r="O36" i="28"/>
  <c r="N36" i="28"/>
  <c r="M36" i="28"/>
  <c r="L36" i="28"/>
  <c r="T35" i="28"/>
  <c r="S35" i="28"/>
  <c r="R35" i="28"/>
  <c r="Q35" i="28"/>
  <c r="O35" i="28"/>
  <c r="N35" i="28"/>
  <c r="M35" i="28"/>
  <c r="L35" i="28"/>
  <c r="T34" i="28"/>
  <c r="S34" i="28"/>
  <c r="R34" i="28"/>
  <c r="Q34" i="28"/>
  <c r="O34" i="28"/>
  <c r="N34" i="28"/>
  <c r="M34" i="28"/>
  <c r="L34" i="28"/>
  <c r="S33" i="28"/>
  <c r="T33" i="28" s="1"/>
  <c r="Q33" i="28"/>
  <c r="R33" i="28" s="1"/>
  <c r="N33" i="28"/>
  <c r="O33" i="28" s="1"/>
  <c r="L33" i="28"/>
  <c r="M33" i="28" s="1"/>
  <c r="T32" i="28"/>
  <c r="S32" i="28"/>
  <c r="R32" i="28"/>
  <c r="Q32" i="28"/>
  <c r="O32" i="28"/>
  <c r="N32" i="28"/>
  <c r="M32" i="28"/>
  <c r="L32" i="28"/>
  <c r="T31" i="28"/>
  <c r="S31" i="28"/>
  <c r="R31" i="28"/>
  <c r="Q31" i="28"/>
  <c r="O31" i="28"/>
  <c r="N31" i="28"/>
  <c r="M31" i="28"/>
  <c r="L31" i="28"/>
  <c r="S30" i="28"/>
  <c r="T30" i="28" s="1"/>
  <c r="Q30" i="28"/>
  <c r="R30" i="28" s="1"/>
  <c r="N30" i="28"/>
  <c r="O30" i="28" s="1"/>
  <c r="L30" i="28"/>
  <c r="M30" i="28" s="1"/>
  <c r="S29" i="28"/>
  <c r="T29" i="28" s="1"/>
  <c r="R29" i="28"/>
  <c r="Q29" i="28"/>
  <c r="N29" i="28"/>
  <c r="O29" i="28" s="1"/>
  <c r="L29" i="28"/>
  <c r="M29" i="28" s="1"/>
  <c r="S28" i="28"/>
  <c r="T28" i="28" s="1"/>
  <c r="Q28" i="28"/>
  <c r="R28" i="28" s="1"/>
  <c r="N28" i="28"/>
  <c r="O28" i="28" s="1"/>
  <c r="L28" i="28"/>
  <c r="M28" i="28" s="1"/>
  <c r="S27" i="28"/>
  <c r="T27" i="28" s="1"/>
  <c r="Q27" i="28"/>
  <c r="R27" i="28" s="1"/>
  <c r="N27" i="28"/>
  <c r="O27" i="28" s="1"/>
  <c r="L27" i="28"/>
  <c r="M27" i="28" s="1"/>
  <c r="S26" i="28"/>
  <c r="T26" i="28" s="1"/>
  <c r="Q26" i="28"/>
  <c r="R26" i="28" s="1"/>
  <c r="N26" i="28"/>
  <c r="O26" i="28" s="1"/>
  <c r="L26" i="28"/>
  <c r="M26" i="28" s="1"/>
  <c r="S25" i="28"/>
  <c r="T25" i="28" s="1"/>
  <c r="Q25" i="28"/>
  <c r="R25" i="28" s="1"/>
  <c r="N25" i="28"/>
  <c r="O25" i="28" s="1"/>
  <c r="L25" i="28"/>
  <c r="M25" i="28" s="1"/>
  <c r="S24" i="28"/>
  <c r="T24" i="28" s="1"/>
  <c r="Q24" i="28"/>
  <c r="R24" i="28" s="1"/>
  <c r="N24" i="28"/>
  <c r="O24" i="28" s="1"/>
  <c r="L24" i="28"/>
  <c r="M24" i="28" s="1"/>
  <c r="S23" i="28"/>
  <c r="T23" i="28" s="1"/>
  <c r="Q23" i="28"/>
  <c r="R23" i="28" s="1"/>
  <c r="N23" i="28"/>
  <c r="O23" i="28" s="1"/>
  <c r="L23" i="28"/>
  <c r="M23" i="28" s="1"/>
  <c r="S22" i="28"/>
  <c r="T22" i="28" s="1"/>
  <c r="Q22" i="28"/>
  <c r="R22" i="28" s="1"/>
  <c r="N22" i="28"/>
  <c r="O22" i="28" s="1"/>
  <c r="L22" i="28"/>
  <c r="M22" i="28" s="1"/>
  <c r="S21" i="28"/>
  <c r="T21" i="28" s="1"/>
  <c r="R21" i="28"/>
  <c r="Q21" i="28"/>
  <c r="N21" i="28"/>
  <c r="O21" i="28" s="1"/>
  <c r="L21" i="28"/>
  <c r="M21" i="28" s="1"/>
  <c r="S20" i="28"/>
  <c r="T20" i="28" s="1"/>
  <c r="R20" i="28"/>
  <c r="Q20" i="28"/>
  <c r="N20" i="28"/>
  <c r="O20" i="28" s="1"/>
  <c r="L20" i="28"/>
  <c r="M20" i="28" s="1"/>
  <c r="T19" i="28"/>
  <c r="S19" i="28"/>
  <c r="R19" i="28"/>
  <c r="Q19" i="28"/>
  <c r="N19" i="28"/>
  <c r="O19" i="28" s="1"/>
  <c r="L19" i="28"/>
  <c r="M19" i="28" s="1"/>
  <c r="S18" i="28"/>
  <c r="T18" i="28" s="1"/>
  <c r="Q18" i="28"/>
  <c r="R18" i="28" s="1"/>
  <c r="N18" i="28"/>
  <c r="O18" i="28" s="1"/>
  <c r="L18" i="28"/>
  <c r="M18" i="28" s="1"/>
  <c r="S17" i="28"/>
  <c r="T17" i="28" s="1"/>
  <c r="Q17" i="28"/>
  <c r="R17" i="28" s="1"/>
  <c r="N17" i="28"/>
  <c r="O17" i="28" s="1"/>
  <c r="L17" i="28"/>
  <c r="M17" i="28" s="1"/>
  <c r="S16" i="28"/>
  <c r="T16" i="28" s="1"/>
  <c r="Q16" i="28"/>
  <c r="R16" i="28" s="1"/>
  <c r="N16" i="28"/>
  <c r="O16" i="28" s="1"/>
  <c r="L16" i="28"/>
  <c r="M16" i="28" s="1"/>
  <c r="S15" i="28"/>
  <c r="T15" i="28" s="1"/>
  <c r="Q15" i="28"/>
  <c r="R15" i="28" s="1"/>
  <c r="N15" i="28"/>
  <c r="O15" i="28" s="1"/>
  <c r="L15" i="28"/>
  <c r="M15" i="28" s="1"/>
  <c r="S14" i="28"/>
  <c r="T14" i="28" s="1"/>
  <c r="Q14" i="28"/>
  <c r="R14" i="28" s="1"/>
  <c r="N14" i="28"/>
  <c r="O14" i="28" s="1"/>
  <c r="L14" i="28"/>
  <c r="M14" i="28" s="1"/>
  <c r="S13" i="28"/>
  <c r="T13" i="28" s="1"/>
  <c r="Q13" i="28"/>
  <c r="R13" i="28" s="1"/>
  <c r="N13" i="28"/>
  <c r="O13" i="28" s="1"/>
  <c r="L13" i="28"/>
  <c r="M13" i="28" s="1"/>
  <c r="T12" i="28"/>
  <c r="S12" i="28"/>
  <c r="Q12" i="28"/>
  <c r="R12" i="28" s="1"/>
  <c r="N12" i="28"/>
  <c r="O12" i="28" s="1"/>
  <c r="L12" i="28"/>
  <c r="M12" i="28" s="1"/>
  <c r="S11" i="28"/>
  <c r="T11" i="28" s="1"/>
  <c r="R11" i="28"/>
  <c r="Q11" i="28"/>
  <c r="N11" i="28"/>
  <c r="O11" i="28" s="1"/>
  <c r="L11" i="28"/>
  <c r="M11" i="28" s="1"/>
  <c r="S10" i="28"/>
  <c r="T10" i="28" s="1"/>
  <c r="R10" i="28"/>
  <c r="Q10" i="28"/>
  <c r="O10" i="28"/>
  <c r="N10" i="28"/>
  <c r="L10" i="28"/>
  <c r="M10" i="28" s="1"/>
  <c r="S9" i="28"/>
  <c r="T9" i="28" s="1"/>
  <c r="Q9" i="28"/>
  <c r="R9" i="28" s="1"/>
  <c r="N9" i="28"/>
  <c r="O9" i="28" s="1"/>
  <c r="M9" i="28"/>
  <c r="L9" i="28"/>
  <c r="S8" i="28"/>
  <c r="T8" i="28" s="1"/>
  <c r="Q8" i="28"/>
  <c r="R8" i="28" s="1"/>
  <c r="N8" i="28"/>
  <c r="O8" i="28" s="1"/>
  <c r="L8" i="28"/>
  <c r="M8" i="28" s="1"/>
  <c r="T7" i="28"/>
  <c r="S7" i="28"/>
  <c r="R7" i="28"/>
  <c r="Q7" i="28"/>
  <c r="O7" i="28"/>
  <c r="N7" i="28"/>
  <c r="L7" i="28"/>
  <c r="M7" i="28" s="1"/>
  <c r="S6" i="28"/>
  <c r="T6" i="28" s="1"/>
  <c r="R6" i="28"/>
  <c r="Q6" i="28"/>
  <c r="N6" i="28"/>
  <c r="O6" i="28" s="1"/>
  <c r="M6" i="28"/>
  <c r="L6" i="28"/>
  <c r="K151" i="27"/>
  <c r="X151" i="27" s="1"/>
  <c r="J150" i="27"/>
  <c r="J151" i="27"/>
  <c r="I150" i="27"/>
  <c r="I151" i="27"/>
  <c r="D57" i="27"/>
  <c r="X358" i="27"/>
  <c r="G321" i="27"/>
  <c r="J157" i="27"/>
  <c r="I157" i="27"/>
  <c r="K173" i="27"/>
  <c r="K128" i="27"/>
  <c r="H122" i="27"/>
  <c r="H127" i="27"/>
  <c r="H126" i="27"/>
  <c r="H120" i="27"/>
  <c r="H125" i="27"/>
  <c r="H115" i="27"/>
  <c r="H83" i="27"/>
  <c r="H82" i="27"/>
  <c r="H81" i="27"/>
  <c r="H71" i="27"/>
  <c r="H80" i="27"/>
  <c r="H68" i="27"/>
  <c r="K87" i="27"/>
  <c r="K86" i="27"/>
  <c r="K85" i="27"/>
  <c r="K84" i="27"/>
  <c r="H37" i="27"/>
  <c r="H36" i="27"/>
  <c r="H35" i="27"/>
  <c r="H25" i="27"/>
  <c r="H34" i="27"/>
  <c r="H22" i="27"/>
  <c r="X399" i="27"/>
  <c r="X398" i="27"/>
  <c r="Z398" i="27"/>
  <c r="Y398" i="27" s="1"/>
  <c r="X400" i="27"/>
  <c r="Z397" i="27"/>
  <c r="Y397" i="27" s="1"/>
  <c r="X396" i="27"/>
  <c r="Z396" i="27"/>
  <c r="Y396" i="27" s="1"/>
  <c r="X395" i="27"/>
  <c r="Z395" i="27"/>
  <c r="Y395" i="27" s="1"/>
  <c r="X394" i="27"/>
  <c r="Z394" i="27"/>
  <c r="Y394" i="27" s="1"/>
  <c r="X397" i="27"/>
  <c r="Z387" i="27"/>
  <c r="Y387" i="27" s="1"/>
  <c r="X386" i="27"/>
  <c r="Z386" i="27"/>
  <c r="Y386" i="27" s="1"/>
  <c r="X387" i="27"/>
  <c r="Z385" i="27"/>
  <c r="Y385" i="27" s="1"/>
  <c r="X385" i="27"/>
  <c r="Z384" i="27"/>
  <c r="Y384" i="27" s="1"/>
  <c r="X384" i="27"/>
  <c r="Z383" i="27"/>
  <c r="Y383" i="27" s="1"/>
  <c r="X383" i="27"/>
  <c r="Z382" i="27"/>
  <c r="Y382" i="27" s="1"/>
  <c r="X382" i="27"/>
  <c r="Z372" i="27"/>
  <c r="Y372" i="27" s="1"/>
  <c r="X371" i="27"/>
  <c r="Z371" i="27"/>
  <c r="Y371" i="27" s="1"/>
  <c r="X369" i="27"/>
  <c r="Z370" i="27"/>
  <c r="Y370" i="27" s="1"/>
  <c r="X372" i="27"/>
  <c r="Z369" i="27"/>
  <c r="Y369" i="27" s="1"/>
  <c r="X368" i="27"/>
  <c r="Z368" i="27"/>
  <c r="Y368" i="27" s="1"/>
  <c r="X370" i="27"/>
  <c r="Z367" i="27"/>
  <c r="Y367" i="27" s="1"/>
  <c r="X367" i="27"/>
  <c r="Z359" i="27"/>
  <c r="Y359" i="27" s="1"/>
  <c r="Z358" i="27"/>
  <c r="Y358" i="27" s="1"/>
  <c r="X359" i="27"/>
  <c r="Z357" i="27"/>
  <c r="Y357" i="27" s="1"/>
  <c r="X357" i="27"/>
  <c r="Z356" i="27"/>
  <c r="Y356" i="27" s="1"/>
  <c r="X356" i="27"/>
  <c r="Z355" i="27"/>
  <c r="Y355" i="27" s="1"/>
  <c r="X355" i="27"/>
  <c r="J345" i="27"/>
  <c r="G344" i="27"/>
  <c r="G343" i="27"/>
  <c r="J342" i="27"/>
  <c r="G342" i="27"/>
  <c r="J341" i="27"/>
  <c r="G341" i="27"/>
  <c r="J340" i="27"/>
  <c r="G340" i="27"/>
  <c r="J339" i="27"/>
  <c r="G339" i="27"/>
  <c r="J337" i="27"/>
  <c r="G337" i="27"/>
  <c r="J336" i="27"/>
  <c r="G336" i="27"/>
  <c r="J338" i="27"/>
  <c r="G338" i="27"/>
  <c r="J324" i="27"/>
  <c r="J323" i="27"/>
  <c r="J320" i="27"/>
  <c r="G320" i="27"/>
  <c r="J319" i="27"/>
  <c r="G319" i="27"/>
  <c r="J325" i="27"/>
  <c r="J321" i="27"/>
  <c r="G326" i="27"/>
  <c r="J322" i="27"/>
  <c r="G322" i="27"/>
  <c r="J311" i="27"/>
  <c r="G311" i="27"/>
  <c r="G302" i="27"/>
  <c r="Z302" i="27" s="1"/>
  <c r="Y302" i="27" s="1"/>
  <c r="J291" i="27"/>
  <c r="I291" i="27"/>
  <c r="G291" i="27"/>
  <c r="F291" i="27"/>
  <c r="J281" i="27"/>
  <c r="I281" i="27"/>
  <c r="G281" i="27"/>
  <c r="F281" i="27"/>
  <c r="J271" i="27"/>
  <c r="I271" i="27"/>
  <c r="G271" i="27"/>
  <c r="F271" i="27"/>
  <c r="J262" i="27"/>
  <c r="I262" i="27"/>
  <c r="G261" i="27"/>
  <c r="F261" i="27"/>
  <c r="G260" i="27"/>
  <c r="F260" i="27"/>
  <c r="G259" i="27"/>
  <c r="F259" i="27"/>
  <c r="J258" i="27"/>
  <c r="I258" i="27"/>
  <c r="G258" i="27"/>
  <c r="F258" i="27"/>
  <c r="J257" i="27"/>
  <c r="I257" i="27"/>
  <c r="G257" i="27"/>
  <c r="F257" i="27"/>
  <c r="J247" i="27"/>
  <c r="I247" i="27"/>
  <c r="G246" i="27"/>
  <c r="F246" i="27"/>
  <c r="G245" i="27"/>
  <c r="F245" i="27"/>
  <c r="G244" i="27"/>
  <c r="F244" i="27"/>
  <c r="J243" i="27"/>
  <c r="I243" i="27"/>
  <c r="G243" i="27"/>
  <c r="F243" i="27"/>
  <c r="J242" i="27"/>
  <c r="I242" i="27"/>
  <c r="G242" i="27"/>
  <c r="F242" i="27"/>
  <c r="J232" i="27"/>
  <c r="I232" i="27"/>
  <c r="J231" i="27"/>
  <c r="I231" i="27"/>
  <c r="J230" i="27"/>
  <c r="I230" i="27"/>
  <c r="G230" i="27"/>
  <c r="F230" i="27"/>
  <c r="J229" i="27"/>
  <c r="I229" i="27"/>
  <c r="G229" i="27"/>
  <c r="F229" i="27"/>
  <c r="J220" i="27"/>
  <c r="I220" i="27"/>
  <c r="J219" i="27"/>
  <c r="I219" i="27"/>
  <c r="J218" i="27"/>
  <c r="I218" i="27"/>
  <c r="G218" i="27"/>
  <c r="F218" i="27"/>
  <c r="J217" i="27"/>
  <c r="I217" i="27"/>
  <c r="G217" i="27"/>
  <c r="F217" i="27"/>
  <c r="J205" i="27"/>
  <c r="I205" i="27"/>
  <c r="J204" i="27"/>
  <c r="I204" i="27"/>
  <c r="J203" i="27"/>
  <c r="I203" i="27"/>
  <c r="G203" i="27"/>
  <c r="F203" i="27"/>
  <c r="J193" i="27"/>
  <c r="I193" i="27"/>
  <c r="J192" i="27"/>
  <c r="I192" i="27"/>
  <c r="J191" i="27"/>
  <c r="I191" i="27"/>
  <c r="G191" i="27"/>
  <c r="F191" i="27"/>
  <c r="AB173" i="27"/>
  <c r="AB172" i="27"/>
  <c r="AB171" i="27"/>
  <c r="AB170" i="27"/>
  <c r="AB169" i="27"/>
  <c r="J162" i="27"/>
  <c r="I162" i="27"/>
  <c r="AB168" i="27"/>
  <c r="J163" i="27"/>
  <c r="I163" i="27"/>
  <c r="AB167" i="27"/>
  <c r="J159" i="27"/>
  <c r="I159" i="27"/>
  <c r="AB166" i="27"/>
  <c r="J155" i="27"/>
  <c r="I155" i="27"/>
  <c r="AB165" i="27"/>
  <c r="J153" i="27"/>
  <c r="I153" i="27"/>
  <c r="AB164" i="27"/>
  <c r="E169" i="27" s="1"/>
  <c r="AB163" i="27"/>
  <c r="H168" i="27"/>
  <c r="AB162" i="27"/>
  <c r="AB161" i="27"/>
  <c r="E161" i="27" s="1"/>
  <c r="J161" i="27"/>
  <c r="I161" i="27"/>
  <c r="AB160" i="27"/>
  <c r="AB159" i="27"/>
  <c r="J156" i="27"/>
  <c r="I156" i="27"/>
  <c r="AB158" i="27"/>
  <c r="J152" i="27"/>
  <c r="I152" i="27"/>
  <c r="G152" i="27"/>
  <c r="F152" i="27"/>
  <c r="AB157" i="27"/>
  <c r="G165" i="27"/>
  <c r="F165" i="27"/>
  <c r="AC156" i="27"/>
  <c r="AB156" i="27"/>
  <c r="J164" i="27"/>
  <c r="I164" i="27"/>
  <c r="G164" i="27"/>
  <c r="F164" i="27"/>
  <c r="AB155" i="27"/>
  <c r="J158" i="27"/>
  <c r="I158" i="27"/>
  <c r="G158" i="27"/>
  <c r="F158" i="27"/>
  <c r="AB154" i="27"/>
  <c r="J160" i="27"/>
  <c r="I160" i="27"/>
  <c r="G160" i="27"/>
  <c r="F160" i="27"/>
  <c r="AB153" i="27"/>
  <c r="G157" i="27"/>
  <c r="F157" i="27"/>
  <c r="AB152" i="27"/>
  <c r="E154" i="27" s="1"/>
  <c r="J154" i="27"/>
  <c r="I154" i="27"/>
  <c r="G154" i="27"/>
  <c r="F154" i="27"/>
  <c r="AB150" i="27"/>
  <c r="J147" i="27"/>
  <c r="I147" i="27"/>
  <c r="G147" i="27"/>
  <c r="F147" i="27"/>
  <c r="AB149" i="27"/>
  <c r="E149" i="27" s="1"/>
  <c r="J149" i="27"/>
  <c r="I149" i="27"/>
  <c r="G149" i="27"/>
  <c r="F149" i="27"/>
  <c r="AB148" i="27"/>
  <c r="G150" i="27"/>
  <c r="F150" i="27"/>
  <c r="AB147" i="27"/>
  <c r="G148" i="27"/>
  <c r="F148" i="27"/>
  <c r="AB146" i="27"/>
  <c r="J145" i="27"/>
  <c r="I145" i="27"/>
  <c r="G145" i="27"/>
  <c r="F145" i="27"/>
  <c r="AB145" i="27"/>
  <c r="J146" i="27"/>
  <c r="I146" i="27"/>
  <c r="G146" i="27"/>
  <c r="F146" i="27"/>
  <c r="AB144" i="27"/>
  <c r="E144" i="27" s="1"/>
  <c r="J144" i="27"/>
  <c r="I144" i="27"/>
  <c r="G144" i="27"/>
  <c r="F144" i="27"/>
  <c r="AB143" i="27"/>
  <c r="E143" i="27" s="1"/>
  <c r="J143" i="27"/>
  <c r="I143" i="27"/>
  <c r="G143" i="27"/>
  <c r="F143" i="27"/>
  <c r="AB128" i="27"/>
  <c r="AB127" i="27"/>
  <c r="J121" i="27"/>
  <c r="I121" i="27"/>
  <c r="AB126" i="27"/>
  <c r="J118" i="27"/>
  <c r="I118" i="27"/>
  <c r="AB125" i="27"/>
  <c r="J114" i="27"/>
  <c r="I114" i="27"/>
  <c r="AB124" i="27"/>
  <c r="J112" i="27"/>
  <c r="I112" i="27"/>
  <c r="AB123" i="27"/>
  <c r="J110" i="27"/>
  <c r="I110" i="27"/>
  <c r="AB122" i="27"/>
  <c r="E122" i="27" s="1"/>
  <c r="J122" i="27"/>
  <c r="I122" i="27"/>
  <c r="AB121" i="27"/>
  <c r="AB120" i="27"/>
  <c r="AB119" i="27"/>
  <c r="J120" i="27"/>
  <c r="I120" i="27"/>
  <c r="AB118" i="27"/>
  <c r="AB117" i="27"/>
  <c r="J115" i="27"/>
  <c r="I115" i="27"/>
  <c r="AB116" i="27"/>
  <c r="J111" i="27"/>
  <c r="I111" i="27"/>
  <c r="G111" i="27"/>
  <c r="F111" i="27"/>
  <c r="AB115" i="27"/>
  <c r="G124" i="27"/>
  <c r="F124" i="27"/>
  <c r="AC114" i="27"/>
  <c r="AB114" i="27"/>
  <c r="E123" i="27" s="1"/>
  <c r="G123" i="27"/>
  <c r="F123" i="27"/>
  <c r="AB113" i="27"/>
  <c r="J117" i="27"/>
  <c r="I117" i="27"/>
  <c r="G117" i="27"/>
  <c r="F117" i="27"/>
  <c r="AB112" i="27"/>
  <c r="E119" i="27" s="1"/>
  <c r="J119" i="27"/>
  <c r="I119" i="27"/>
  <c r="G119" i="27"/>
  <c r="F119" i="27"/>
  <c r="AB111" i="27"/>
  <c r="J116" i="27"/>
  <c r="I116" i="27"/>
  <c r="G116" i="27"/>
  <c r="F116" i="27"/>
  <c r="AB110" i="27"/>
  <c r="J113" i="27"/>
  <c r="I113" i="27"/>
  <c r="G113" i="27"/>
  <c r="F113" i="27"/>
  <c r="AB109" i="27"/>
  <c r="J106" i="27"/>
  <c r="I106" i="27"/>
  <c r="G106" i="27"/>
  <c r="F106" i="27"/>
  <c r="AB108" i="27"/>
  <c r="E108" i="27" s="1"/>
  <c r="J108" i="27"/>
  <c r="I108" i="27"/>
  <c r="G108" i="27"/>
  <c r="F108" i="27"/>
  <c r="AB107" i="27"/>
  <c r="G109" i="27"/>
  <c r="F109" i="27"/>
  <c r="AB106" i="27"/>
  <c r="G107" i="27"/>
  <c r="F107" i="27"/>
  <c r="AB105" i="27"/>
  <c r="J104" i="27"/>
  <c r="I104" i="27"/>
  <c r="G104" i="27"/>
  <c r="F104" i="27"/>
  <c r="AB104" i="27"/>
  <c r="J105" i="27"/>
  <c r="I105" i="27"/>
  <c r="G105" i="27"/>
  <c r="F105" i="27"/>
  <c r="AB103" i="27"/>
  <c r="E103" i="27" s="1"/>
  <c r="J103" i="27"/>
  <c r="I103" i="27"/>
  <c r="G103" i="27"/>
  <c r="F103" i="27"/>
  <c r="AB102" i="27"/>
  <c r="E102" i="27" s="1"/>
  <c r="J102" i="27"/>
  <c r="I102" i="27"/>
  <c r="G102" i="27"/>
  <c r="F102" i="27"/>
  <c r="AB87" i="27"/>
  <c r="AB86" i="27"/>
  <c r="AB85" i="27"/>
  <c r="AB84" i="27"/>
  <c r="AB83" i="27"/>
  <c r="J74" i="27"/>
  <c r="I74" i="27"/>
  <c r="AB82" i="27"/>
  <c r="J73" i="27"/>
  <c r="I73" i="27"/>
  <c r="AB81" i="27"/>
  <c r="J69" i="27"/>
  <c r="I69" i="27"/>
  <c r="AB80" i="27"/>
  <c r="J65" i="27"/>
  <c r="I65" i="27"/>
  <c r="AB79" i="27"/>
  <c r="J63" i="27"/>
  <c r="I63" i="27"/>
  <c r="AB78" i="27"/>
  <c r="D83" i="27"/>
  <c r="AB77" i="27"/>
  <c r="D82" i="27"/>
  <c r="AB76" i="27"/>
  <c r="AB75" i="27"/>
  <c r="J71" i="27"/>
  <c r="I71" i="27"/>
  <c r="D71" i="27"/>
  <c r="AB74" i="27"/>
  <c r="E80" i="27" s="1"/>
  <c r="D80" i="27"/>
  <c r="AB73" i="27"/>
  <c r="J68" i="27"/>
  <c r="I68" i="27"/>
  <c r="D68" i="27"/>
  <c r="AB72" i="27"/>
  <c r="J67" i="27"/>
  <c r="I67" i="27"/>
  <c r="G67" i="27"/>
  <c r="F67" i="27"/>
  <c r="AB71" i="27"/>
  <c r="J66" i="27"/>
  <c r="I66" i="27"/>
  <c r="G66" i="27"/>
  <c r="F66" i="27"/>
  <c r="AB70" i="27"/>
  <c r="G79" i="27"/>
  <c r="F79" i="27"/>
  <c r="D79" i="27"/>
  <c r="AB69" i="27"/>
  <c r="G78" i="27"/>
  <c r="F78" i="27"/>
  <c r="D78" i="27"/>
  <c r="AB68" i="27"/>
  <c r="J76" i="27"/>
  <c r="I76" i="27"/>
  <c r="G76" i="27"/>
  <c r="F76" i="27"/>
  <c r="D76" i="27"/>
  <c r="AB67" i="27"/>
  <c r="E77" i="27" s="1"/>
  <c r="J77" i="27"/>
  <c r="I77" i="27"/>
  <c r="G77" i="27"/>
  <c r="F77" i="27"/>
  <c r="D77" i="27"/>
  <c r="AB66" i="27"/>
  <c r="J72" i="27"/>
  <c r="I72" i="27"/>
  <c r="G72" i="27"/>
  <c r="F72" i="27"/>
  <c r="AB65" i="27"/>
  <c r="J75" i="27"/>
  <c r="I75" i="27"/>
  <c r="G75" i="27"/>
  <c r="F75" i="27"/>
  <c r="D75" i="27"/>
  <c r="AB64" i="27"/>
  <c r="G70" i="27"/>
  <c r="F70" i="27"/>
  <c r="D70" i="27"/>
  <c r="AB63" i="27"/>
  <c r="J61" i="27"/>
  <c r="I61" i="27"/>
  <c r="G61" i="27"/>
  <c r="F61" i="27"/>
  <c r="D61" i="27"/>
  <c r="AB62" i="27"/>
  <c r="J59" i="27"/>
  <c r="I59" i="27"/>
  <c r="G59" i="27"/>
  <c r="F59" i="27"/>
  <c r="D59" i="27"/>
  <c r="AB61" i="27"/>
  <c r="J56" i="27"/>
  <c r="I56" i="27"/>
  <c r="G56" i="27"/>
  <c r="F56" i="27"/>
  <c r="D56" i="27"/>
  <c r="AB60" i="27"/>
  <c r="J62" i="27"/>
  <c r="I62" i="27"/>
  <c r="G62" i="27"/>
  <c r="F62" i="27"/>
  <c r="D62" i="27"/>
  <c r="AB59" i="27"/>
  <c r="G64" i="27"/>
  <c r="F64" i="27"/>
  <c r="D64" i="27"/>
  <c r="AB58" i="27"/>
  <c r="G60" i="27"/>
  <c r="F60" i="27"/>
  <c r="D60" i="27"/>
  <c r="AB57" i="27"/>
  <c r="E54" i="27" s="1"/>
  <c r="J54" i="27"/>
  <c r="I54" i="27"/>
  <c r="G54" i="27"/>
  <c r="F54" i="27"/>
  <c r="D54" i="27"/>
  <c r="AB56" i="27"/>
  <c r="J55" i="27"/>
  <c r="I55" i="27"/>
  <c r="G55" i="27"/>
  <c r="F55" i="27"/>
  <c r="D55" i="27"/>
  <c r="AB55" i="27"/>
  <c r="G58" i="27"/>
  <c r="F58" i="27"/>
  <c r="AB54" i="27"/>
  <c r="G57" i="27"/>
  <c r="F57" i="27"/>
  <c r="AB53" i="27"/>
  <c r="E53" i="27" s="1"/>
  <c r="J53" i="27"/>
  <c r="I53" i="27"/>
  <c r="G53" i="27"/>
  <c r="F53" i="27"/>
  <c r="D53" i="27"/>
  <c r="AB52" i="27"/>
  <c r="E52" i="27" s="1"/>
  <c r="J52" i="27"/>
  <c r="I52" i="27"/>
  <c r="G52" i="27"/>
  <c r="F52" i="27"/>
  <c r="D52" i="27"/>
  <c r="K40" i="27"/>
  <c r="AB38" i="27"/>
  <c r="K38" i="27"/>
  <c r="AB37" i="27"/>
  <c r="J28" i="27"/>
  <c r="I28" i="27"/>
  <c r="AB36" i="27"/>
  <c r="J27" i="27"/>
  <c r="I27" i="27"/>
  <c r="AB35" i="27"/>
  <c r="J23" i="27"/>
  <c r="I23" i="27"/>
  <c r="AB34" i="27"/>
  <c r="J19" i="27"/>
  <c r="I19" i="27"/>
  <c r="AB33" i="27"/>
  <c r="J17" i="27"/>
  <c r="I17" i="27"/>
  <c r="AB32" i="27"/>
  <c r="D37" i="27"/>
  <c r="AB31" i="27"/>
  <c r="D36" i="27"/>
  <c r="AB30" i="27"/>
  <c r="AB29" i="27"/>
  <c r="J25" i="27"/>
  <c r="I25" i="27"/>
  <c r="D25" i="27"/>
  <c r="AB28" i="27"/>
  <c r="K34" i="27"/>
  <c r="D34" i="27"/>
  <c r="AB27" i="27"/>
  <c r="J22" i="27"/>
  <c r="I22" i="27"/>
  <c r="D22" i="27"/>
  <c r="AB26" i="27"/>
  <c r="J21" i="27"/>
  <c r="I21" i="27"/>
  <c r="G21" i="27"/>
  <c r="F21" i="27"/>
  <c r="AB25" i="27"/>
  <c r="J20" i="27"/>
  <c r="I20" i="27"/>
  <c r="G20" i="27"/>
  <c r="F20" i="27"/>
  <c r="AB24" i="27"/>
  <c r="G33" i="27"/>
  <c r="F33" i="27"/>
  <c r="D33" i="27"/>
  <c r="AB23" i="27"/>
  <c r="G32" i="27"/>
  <c r="F32" i="27"/>
  <c r="D32" i="27"/>
  <c r="AB22" i="27"/>
  <c r="J30" i="27"/>
  <c r="I30" i="27"/>
  <c r="G30" i="27"/>
  <c r="F30" i="27"/>
  <c r="D30" i="27"/>
  <c r="AB21" i="27"/>
  <c r="J31" i="27"/>
  <c r="I31" i="27"/>
  <c r="G31" i="27"/>
  <c r="F31" i="27"/>
  <c r="D31" i="27"/>
  <c r="AB20" i="27"/>
  <c r="J26" i="27"/>
  <c r="I26" i="27"/>
  <c r="G26" i="27"/>
  <c r="F26" i="27"/>
  <c r="AB19" i="27"/>
  <c r="J29" i="27"/>
  <c r="I29" i="27"/>
  <c r="G29" i="27"/>
  <c r="F29" i="27"/>
  <c r="D29" i="27"/>
  <c r="AB18" i="27"/>
  <c r="G24" i="27"/>
  <c r="F24" i="27"/>
  <c r="D24" i="27"/>
  <c r="AB17" i="27"/>
  <c r="J15" i="27"/>
  <c r="I15" i="27"/>
  <c r="G15" i="27"/>
  <c r="F15" i="27"/>
  <c r="D15" i="27"/>
  <c r="AB16" i="27"/>
  <c r="J13" i="27"/>
  <c r="I13" i="27"/>
  <c r="G13" i="27"/>
  <c r="F13" i="27"/>
  <c r="D13" i="27"/>
  <c r="AB15" i="27"/>
  <c r="J10" i="27"/>
  <c r="I10" i="27"/>
  <c r="G10" i="27"/>
  <c r="F10" i="27"/>
  <c r="D10" i="27"/>
  <c r="AB14" i="27"/>
  <c r="J16" i="27"/>
  <c r="I16" i="27"/>
  <c r="G16" i="27"/>
  <c r="F16" i="27"/>
  <c r="D16" i="27"/>
  <c r="AB13" i="27"/>
  <c r="G18" i="27"/>
  <c r="F18" i="27"/>
  <c r="D18" i="27"/>
  <c r="AB12" i="27"/>
  <c r="K14" i="27"/>
  <c r="G14" i="27"/>
  <c r="F14" i="27"/>
  <c r="D14" i="27"/>
  <c r="AB11" i="27"/>
  <c r="J8" i="27"/>
  <c r="I8" i="27"/>
  <c r="G8" i="27"/>
  <c r="F8" i="27"/>
  <c r="D8" i="27"/>
  <c r="AB10" i="27"/>
  <c r="J9" i="27"/>
  <c r="I9" i="27"/>
  <c r="G9" i="27"/>
  <c r="F9" i="27"/>
  <c r="D9" i="27"/>
  <c r="AB9" i="27"/>
  <c r="G12" i="27"/>
  <c r="F12" i="27"/>
  <c r="AB8" i="27"/>
  <c r="E11" i="27" s="1"/>
  <c r="G11" i="27"/>
  <c r="F11" i="27"/>
  <c r="D11" i="27"/>
  <c r="AB7" i="27"/>
  <c r="E7" i="27" s="1"/>
  <c r="J7" i="27"/>
  <c r="I7" i="27"/>
  <c r="G7" i="27"/>
  <c r="F7" i="27"/>
  <c r="D7" i="27"/>
  <c r="AB6" i="27"/>
  <c r="E6" i="27" s="1"/>
  <c r="J6" i="27"/>
  <c r="I6" i="27"/>
  <c r="G6" i="27"/>
  <c r="F6" i="27"/>
  <c r="D6" i="27"/>
  <c r="X457" i="22"/>
  <c r="Z444" i="22"/>
  <c r="Y444" i="22" s="1"/>
  <c r="X444" i="22"/>
  <c r="Z429" i="22"/>
  <c r="Y429" i="22" s="1"/>
  <c r="X429" i="22"/>
  <c r="AA8" i="26"/>
  <c r="AA7" i="26"/>
  <c r="J354" i="22"/>
  <c r="J331" i="22"/>
  <c r="J318" i="22"/>
  <c r="J305" i="22"/>
  <c r="V42" i="22"/>
  <c r="U42" i="22"/>
  <c r="S42" i="22"/>
  <c r="R42" i="22"/>
  <c r="Q42" i="22"/>
  <c r="J42" i="22"/>
  <c r="I42" i="22"/>
  <c r="G42" i="22"/>
  <c r="F42" i="22"/>
  <c r="V41" i="22"/>
  <c r="U41" i="22"/>
  <c r="S41" i="22"/>
  <c r="R41" i="22"/>
  <c r="Q41" i="22"/>
  <c r="G41" i="22"/>
  <c r="F41" i="22"/>
  <c r="V40" i="22"/>
  <c r="U40" i="22"/>
  <c r="S40" i="22"/>
  <c r="R40" i="22"/>
  <c r="Q40" i="22"/>
  <c r="G40" i="22"/>
  <c r="F40" i="22"/>
  <c r="V39" i="22"/>
  <c r="U39" i="22"/>
  <c r="S39" i="22"/>
  <c r="R39" i="22"/>
  <c r="Q39" i="22"/>
  <c r="G39" i="22"/>
  <c r="F39" i="22"/>
  <c r="J332" i="22"/>
  <c r="J333" i="22"/>
  <c r="I332" i="22"/>
  <c r="I333" i="22"/>
  <c r="I331" i="22"/>
  <c r="J319" i="22"/>
  <c r="J320" i="22"/>
  <c r="J321" i="22"/>
  <c r="J322" i="22"/>
  <c r="I319" i="22"/>
  <c r="I320" i="22"/>
  <c r="I321" i="22"/>
  <c r="I322" i="22"/>
  <c r="I318" i="22"/>
  <c r="J306" i="22"/>
  <c r="J307" i="22"/>
  <c r="J308" i="22"/>
  <c r="J309" i="22"/>
  <c r="I306" i="22"/>
  <c r="I307" i="22"/>
  <c r="I308" i="22"/>
  <c r="I309" i="22"/>
  <c r="I305" i="22"/>
  <c r="J291" i="22"/>
  <c r="J292" i="22"/>
  <c r="J293" i="22"/>
  <c r="J294" i="22"/>
  <c r="J295" i="22"/>
  <c r="I291" i="22"/>
  <c r="I292" i="22"/>
  <c r="I293" i="22"/>
  <c r="I294" i="22"/>
  <c r="I295" i="22"/>
  <c r="J290" i="22"/>
  <c r="I290" i="22"/>
  <c r="J277" i="22"/>
  <c r="J278" i="22"/>
  <c r="J279" i="22"/>
  <c r="J280" i="22"/>
  <c r="J281" i="22"/>
  <c r="I277" i="22"/>
  <c r="I278" i="22"/>
  <c r="I279" i="22"/>
  <c r="I280" i="22"/>
  <c r="I281" i="22"/>
  <c r="J276" i="22"/>
  <c r="I276" i="22"/>
  <c r="J261" i="22"/>
  <c r="J262" i="22"/>
  <c r="J263" i="22"/>
  <c r="J264" i="22"/>
  <c r="J265" i="22"/>
  <c r="J266" i="22"/>
  <c r="J260" i="22"/>
  <c r="I261" i="22"/>
  <c r="I262" i="22"/>
  <c r="I263" i="22"/>
  <c r="I264" i="22"/>
  <c r="I265" i="22"/>
  <c r="I266" i="22"/>
  <c r="I260" i="22"/>
  <c r="J249" i="22"/>
  <c r="J250" i="22"/>
  <c r="J251" i="22"/>
  <c r="J248" i="22"/>
  <c r="I249" i="22"/>
  <c r="I250" i="22"/>
  <c r="I251" i="22"/>
  <c r="I248" i="22"/>
  <c r="J236" i="22"/>
  <c r="I236" i="22"/>
  <c r="J223" i="22"/>
  <c r="I223" i="22"/>
  <c r="J169" i="22"/>
  <c r="J173" i="22"/>
  <c r="J176" i="22"/>
  <c r="J177" i="22"/>
  <c r="J182" i="22"/>
  <c r="J183" i="22"/>
  <c r="J194" i="22"/>
  <c r="I169" i="22"/>
  <c r="I173" i="22"/>
  <c r="I176" i="22"/>
  <c r="I177" i="22"/>
  <c r="I182" i="22"/>
  <c r="I183" i="22"/>
  <c r="I194" i="22"/>
  <c r="J152" i="22"/>
  <c r="J134" i="22"/>
  <c r="J133" i="22"/>
  <c r="J128" i="22"/>
  <c r="J127" i="22"/>
  <c r="J124" i="22"/>
  <c r="J120" i="22"/>
  <c r="I120" i="22"/>
  <c r="I124" i="22"/>
  <c r="I127" i="22"/>
  <c r="I128" i="22"/>
  <c r="I133" i="22"/>
  <c r="I134" i="22"/>
  <c r="I152" i="22"/>
  <c r="J60" i="22"/>
  <c r="J61" i="22"/>
  <c r="J65" i="22"/>
  <c r="J70" i="22"/>
  <c r="J75" i="22"/>
  <c r="J76" i="22"/>
  <c r="J82" i="22"/>
  <c r="J83" i="22"/>
  <c r="J84" i="22"/>
  <c r="J94" i="22"/>
  <c r="J95" i="22"/>
  <c r="J100" i="22"/>
  <c r="I60" i="22"/>
  <c r="I61" i="22"/>
  <c r="I65" i="22"/>
  <c r="I70" i="22"/>
  <c r="I75" i="22"/>
  <c r="I76" i="22"/>
  <c r="I82" i="22"/>
  <c r="I83" i="22"/>
  <c r="I84" i="22"/>
  <c r="I94" i="22"/>
  <c r="I95" i="22"/>
  <c r="I100" i="22"/>
  <c r="J32" i="22"/>
  <c r="J31" i="22"/>
  <c r="J24" i="22"/>
  <c r="J23" i="22"/>
  <c r="J18" i="22"/>
  <c r="J13" i="22"/>
  <c r="J9" i="22"/>
  <c r="J8" i="22"/>
  <c r="I8" i="22"/>
  <c r="I9" i="22"/>
  <c r="I13" i="22"/>
  <c r="I18" i="22"/>
  <c r="I23" i="22"/>
  <c r="I24" i="22"/>
  <c r="I31" i="22"/>
  <c r="I32" i="22"/>
  <c r="U58" i="26"/>
  <c r="U59" i="26"/>
  <c r="U60" i="26"/>
  <c r="U61" i="26"/>
  <c r="U50" i="26"/>
  <c r="U51" i="26"/>
  <c r="U52" i="26"/>
  <c r="U53" i="26"/>
  <c r="U54" i="26"/>
  <c r="U55" i="26"/>
  <c r="U41" i="26"/>
  <c r="U42" i="26"/>
  <c r="U43" i="26"/>
  <c r="U44" i="26"/>
  <c r="U45" i="26"/>
  <c r="N65" i="26"/>
  <c r="P58" i="26"/>
  <c r="P59" i="26"/>
  <c r="P60" i="26"/>
  <c r="P61" i="26"/>
  <c r="P50" i="26"/>
  <c r="P51" i="26"/>
  <c r="P52" i="26"/>
  <c r="P53" i="26"/>
  <c r="P54" i="26"/>
  <c r="P55" i="26"/>
  <c r="P41" i="26"/>
  <c r="P42" i="26"/>
  <c r="P43" i="26"/>
  <c r="P44" i="26"/>
  <c r="P45" i="26"/>
  <c r="J395" i="22"/>
  <c r="J396" i="22"/>
  <c r="J397" i="22"/>
  <c r="J398" i="22"/>
  <c r="J399" i="22"/>
  <c r="J400" i="22"/>
  <c r="J401" i="22"/>
  <c r="J402" i="22"/>
  <c r="J403" i="22"/>
  <c r="J404" i="22"/>
  <c r="J394" i="22"/>
  <c r="J381" i="22"/>
  <c r="J382" i="22"/>
  <c r="J383" i="22"/>
  <c r="J365" i="22"/>
  <c r="M67" i="26"/>
  <c r="K67" i="26"/>
  <c r="N67" i="26" s="1"/>
  <c r="J67" i="26"/>
  <c r="L67" i="26" s="1"/>
  <c r="M66" i="26"/>
  <c r="K66" i="26"/>
  <c r="N66" i="26" s="1"/>
  <c r="J66" i="26"/>
  <c r="L66" i="26" s="1"/>
  <c r="J65" i="26"/>
  <c r="L65" i="26" s="1"/>
  <c r="M65" i="26" s="1"/>
  <c r="T61" i="26"/>
  <c r="R61" i="26"/>
  <c r="Q61" i="26"/>
  <c r="O61" i="26"/>
  <c r="M61" i="26"/>
  <c r="L61" i="26"/>
  <c r="S61" i="26" s="1"/>
  <c r="T60" i="26"/>
  <c r="R60" i="26"/>
  <c r="Q60" i="26"/>
  <c r="O60" i="26"/>
  <c r="M60" i="26"/>
  <c r="L60" i="26"/>
  <c r="N60" i="26" s="1"/>
  <c r="T59" i="26"/>
  <c r="R59" i="26"/>
  <c r="Q59" i="26"/>
  <c r="O59" i="26"/>
  <c r="M59" i="26"/>
  <c r="L59" i="26"/>
  <c r="N59" i="26" s="1"/>
  <c r="Q58" i="26"/>
  <c r="R58" i="26" s="1"/>
  <c r="L58" i="26"/>
  <c r="N58" i="26" s="1"/>
  <c r="O58" i="26" s="1"/>
  <c r="T55" i="26"/>
  <c r="R55" i="26"/>
  <c r="Q55" i="26"/>
  <c r="S55" i="26" s="1"/>
  <c r="O55" i="26"/>
  <c r="M55" i="26"/>
  <c r="L55" i="26"/>
  <c r="N55" i="26" s="1"/>
  <c r="Q54" i="26"/>
  <c r="S54" i="26" s="1"/>
  <c r="T54" i="26" s="1"/>
  <c r="L54" i="26"/>
  <c r="N54" i="26" s="1"/>
  <c r="O54" i="26" s="1"/>
  <c r="Q53" i="26"/>
  <c r="S53" i="26" s="1"/>
  <c r="T53" i="26" s="1"/>
  <c r="L53" i="26"/>
  <c r="N53" i="26" s="1"/>
  <c r="O53" i="26" s="1"/>
  <c r="Q52" i="26"/>
  <c r="R52" i="26" s="1"/>
  <c r="L52" i="26"/>
  <c r="M52" i="26" s="1"/>
  <c r="Q51" i="26"/>
  <c r="S51" i="26" s="1"/>
  <c r="T51" i="26" s="1"/>
  <c r="J379" i="22" s="1"/>
  <c r="M51" i="26"/>
  <c r="L51" i="26"/>
  <c r="N51" i="26" s="1"/>
  <c r="O51" i="26" s="1"/>
  <c r="Q50" i="26"/>
  <c r="S50" i="26" s="1"/>
  <c r="T50" i="26" s="1"/>
  <c r="J378" i="22" s="1"/>
  <c r="L50" i="26"/>
  <c r="N50" i="26" s="1"/>
  <c r="O50" i="26" s="1"/>
  <c r="T45" i="26"/>
  <c r="R45" i="26"/>
  <c r="Q45" i="26"/>
  <c r="S45" i="26" s="1"/>
  <c r="O45" i="26"/>
  <c r="M45" i="26"/>
  <c r="L45" i="26"/>
  <c r="N45" i="26" s="1"/>
  <c r="Q44" i="26"/>
  <c r="S44" i="26" s="1"/>
  <c r="T44" i="26" s="1"/>
  <c r="L44" i="26"/>
  <c r="N44" i="26" s="1"/>
  <c r="O44" i="26" s="1"/>
  <c r="T43" i="26"/>
  <c r="R43" i="26"/>
  <c r="Q43" i="26"/>
  <c r="S43" i="26" s="1"/>
  <c r="L43" i="26"/>
  <c r="N43" i="26" s="1"/>
  <c r="O43" i="26" s="1"/>
  <c r="Q42" i="26"/>
  <c r="S42" i="26" s="1"/>
  <c r="T42" i="26" s="1"/>
  <c r="L42" i="26"/>
  <c r="N42" i="26" s="1"/>
  <c r="O42" i="26" s="1"/>
  <c r="Q41" i="26"/>
  <c r="S41" i="26" s="1"/>
  <c r="T41" i="26" s="1"/>
  <c r="L41" i="26"/>
  <c r="N41" i="26" s="1"/>
  <c r="O41" i="26" s="1"/>
  <c r="T36" i="26"/>
  <c r="S36" i="26"/>
  <c r="R36" i="26"/>
  <c r="U36" i="26" s="1"/>
  <c r="Q36" i="26"/>
  <c r="O36" i="26"/>
  <c r="N36" i="26"/>
  <c r="M36" i="26"/>
  <c r="P36" i="26" s="1"/>
  <c r="L36" i="26"/>
  <c r="T35" i="26"/>
  <c r="S35" i="26"/>
  <c r="R35" i="26"/>
  <c r="U35" i="26" s="1"/>
  <c r="Q35" i="26"/>
  <c r="O35" i="26"/>
  <c r="N35" i="26"/>
  <c r="M35" i="26"/>
  <c r="P35" i="26" s="1"/>
  <c r="L35" i="26"/>
  <c r="T34" i="26"/>
  <c r="S34" i="26"/>
  <c r="R34" i="26"/>
  <c r="U34" i="26" s="1"/>
  <c r="Q34" i="26"/>
  <c r="O34" i="26"/>
  <c r="N34" i="26"/>
  <c r="M34" i="26"/>
  <c r="P34" i="26" s="1"/>
  <c r="L34" i="26"/>
  <c r="T33" i="26"/>
  <c r="S33" i="26"/>
  <c r="R33" i="26"/>
  <c r="U33" i="26" s="1"/>
  <c r="Q33" i="26"/>
  <c r="O33" i="26"/>
  <c r="N33" i="26"/>
  <c r="M33" i="26"/>
  <c r="P33" i="26" s="1"/>
  <c r="L33" i="26"/>
  <c r="T32" i="26"/>
  <c r="J193" i="22" s="1"/>
  <c r="S32" i="26"/>
  <c r="R32" i="26"/>
  <c r="I193" i="22" s="1"/>
  <c r="Q32" i="26"/>
  <c r="O32" i="26"/>
  <c r="J41" i="22" s="1"/>
  <c r="N32" i="26"/>
  <c r="M32" i="26"/>
  <c r="I41" i="22" s="1"/>
  <c r="L32" i="26"/>
  <c r="T31" i="26"/>
  <c r="J192" i="22" s="1"/>
  <c r="S31" i="26"/>
  <c r="R31" i="26"/>
  <c r="I192" i="22" s="1"/>
  <c r="Q31" i="26"/>
  <c r="O31" i="26"/>
  <c r="J40" i="22" s="1"/>
  <c r="N31" i="26"/>
  <c r="M31" i="26"/>
  <c r="I92" i="22" s="1"/>
  <c r="L31" i="26"/>
  <c r="S30" i="26"/>
  <c r="T30" i="26" s="1"/>
  <c r="J142" i="22" s="1"/>
  <c r="R30" i="26"/>
  <c r="U30" i="26" s="1"/>
  <c r="Q30" i="26"/>
  <c r="N30" i="26"/>
  <c r="O30" i="26" s="1"/>
  <c r="J91" i="22" s="1"/>
  <c r="L30" i="26"/>
  <c r="M30" i="26" s="1"/>
  <c r="P30" i="26" s="1"/>
  <c r="T29" i="26"/>
  <c r="J180" i="22" s="1"/>
  <c r="S29" i="26"/>
  <c r="R29" i="26"/>
  <c r="I131" i="22" s="1"/>
  <c r="Q29" i="26"/>
  <c r="N29" i="26"/>
  <c r="O29" i="26" s="1"/>
  <c r="J80" i="22" s="1"/>
  <c r="L29" i="26"/>
  <c r="M29" i="26" s="1"/>
  <c r="P29" i="26" s="1"/>
  <c r="S28" i="26"/>
  <c r="T28" i="26" s="1"/>
  <c r="J375" i="22" s="1"/>
  <c r="Q28" i="26"/>
  <c r="R28" i="26" s="1"/>
  <c r="U28" i="26" s="1"/>
  <c r="N28" i="26"/>
  <c r="O28" i="26" s="1"/>
  <c r="J64" i="22" s="1"/>
  <c r="L28" i="26"/>
  <c r="M28" i="26" s="1"/>
  <c r="I64" i="22" s="1"/>
  <c r="T27" i="26"/>
  <c r="J380" i="22" s="1"/>
  <c r="S27" i="26"/>
  <c r="R27" i="26"/>
  <c r="I141" i="22" s="1"/>
  <c r="Q27" i="26"/>
  <c r="O27" i="26"/>
  <c r="J90" i="22" s="1"/>
  <c r="N27" i="26"/>
  <c r="M27" i="26"/>
  <c r="I90" i="22" s="1"/>
  <c r="L27" i="26"/>
  <c r="S26" i="26"/>
  <c r="T26" i="26" s="1"/>
  <c r="J235" i="22" s="1"/>
  <c r="Q26" i="26"/>
  <c r="R26" i="26" s="1"/>
  <c r="I132" i="22" s="1"/>
  <c r="N26" i="26"/>
  <c r="O26" i="26" s="1"/>
  <c r="J81" i="22" s="1"/>
  <c r="L26" i="26"/>
  <c r="M26" i="26" s="1"/>
  <c r="I222" i="22" s="1"/>
  <c r="S25" i="26"/>
  <c r="T25" i="26" s="1"/>
  <c r="J189" i="22" s="1"/>
  <c r="Q25" i="26"/>
  <c r="R25" i="26" s="1"/>
  <c r="I140" i="22" s="1"/>
  <c r="N25" i="26"/>
  <c r="O25" i="26" s="1"/>
  <c r="J37" i="22" s="1"/>
  <c r="L25" i="26"/>
  <c r="M25" i="26" s="1"/>
  <c r="I89" i="22" s="1"/>
  <c r="S24" i="26"/>
  <c r="T24" i="26" s="1"/>
  <c r="J174" i="22" s="1"/>
  <c r="Q24" i="26"/>
  <c r="R24" i="26" s="1"/>
  <c r="I125" i="22" s="1"/>
  <c r="N24" i="26"/>
  <c r="O24" i="26" s="1"/>
  <c r="J21" i="22" s="1"/>
  <c r="L24" i="26"/>
  <c r="M24" i="26" s="1"/>
  <c r="S23" i="26"/>
  <c r="T23" i="26" s="1"/>
  <c r="Q23" i="26"/>
  <c r="R23" i="26" s="1"/>
  <c r="N23" i="26"/>
  <c r="O23" i="26" s="1"/>
  <c r="J88" i="22" s="1"/>
  <c r="L23" i="26"/>
  <c r="M23" i="26" s="1"/>
  <c r="I36" i="22" s="1"/>
  <c r="S22" i="26"/>
  <c r="T22" i="26" s="1"/>
  <c r="J172" i="22" s="1"/>
  <c r="Q22" i="26"/>
  <c r="R22" i="26" s="1"/>
  <c r="I123" i="22" s="1"/>
  <c r="N22" i="26"/>
  <c r="O22" i="26" s="1"/>
  <c r="J19" i="22" s="1"/>
  <c r="L22" i="26"/>
  <c r="M22" i="26" s="1"/>
  <c r="I19" i="22" s="1"/>
  <c r="S21" i="26"/>
  <c r="T21" i="26" s="1"/>
  <c r="J126" i="22" s="1"/>
  <c r="Q21" i="26"/>
  <c r="R21" i="26" s="1"/>
  <c r="I175" i="22" s="1"/>
  <c r="N21" i="26"/>
  <c r="O21" i="26" s="1"/>
  <c r="J74" i="22" s="1"/>
  <c r="L21" i="26"/>
  <c r="M21" i="26" s="1"/>
  <c r="I74" i="22" s="1"/>
  <c r="T20" i="26"/>
  <c r="S20" i="26"/>
  <c r="R20" i="26"/>
  <c r="U20" i="26" s="1"/>
  <c r="Q20" i="26"/>
  <c r="N20" i="26"/>
  <c r="O20" i="26" s="1"/>
  <c r="J25" i="22" s="1"/>
  <c r="L20" i="26"/>
  <c r="M20" i="26" s="1"/>
  <c r="I77" i="22" s="1"/>
  <c r="S19" i="26"/>
  <c r="T19" i="26" s="1"/>
  <c r="J129" i="22" s="1"/>
  <c r="Q19" i="26"/>
  <c r="R19" i="26" s="1"/>
  <c r="I129" i="22" s="1"/>
  <c r="N19" i="26"/>
  <c r="O19" i="26" s="1"/>
  <c r="J26" i="22" s="1"/>
  <c r="L19" i="26"/>
  <c r="M19" i="26" s="1"/>
  <c r="S18" i="26"/>
  <c r="T18" i="26" s="1"/>
  <c r="Q18" i="26"/>
  <c r="R18" i="26" s="1"/>
  <c r="U18" i="26" s="1"/>
  <c r="N18" i="26"/>
  <c r="O18" i="26" s="1"/>
  <c r="J17" i="22" s="1"/>
  <c r="L18" i="26"/>
  <c r="M18" i="26" s="1"/>
  <c r="I69" i="22" s="1"/>
  <c r="S17" i="26"/>
  <c r="T17" i="26" s="1"/>
  <c r="J139" i="22" s="1"/>
  <c r="Q17" i="26"/>
  <c r="R17" i="26" s="1"/>
  <c r="I139" i="22" s="1"/>
  <c r="N17" i="26"/>
  <c r="O17" i="26" s="1"/>
  <c r="J72" i="22" s="1"/>
  <c r="L17" i="26"/>
  <c r="M17" i="26" s="1"/>
  <c r="S16" i="26"/>
  <c r="T16" i="26" s="1"/>
  <c r="J121" i="22" s="1"/>
  <c r="Q16" i="26"/>
  <c r="R16" i="26" s="1"/>
  <c r="I121" i="22" s="1"/>
  <c r="N16" i="26"/>
  <c r="O16" i="26" s="1"/>
  <c r="J66" i="22" s="1"/>
  <c r="L16" i="26"/>
  <c r="M16" i="26" s="1"/>
  <c r="I66" i="22" s="1"/>
  <c r="S15" i="26"/>
  <c r="T15" i="26" s="1"/>
  <c r="J130" i="22" s="1"/>
  <c r="Q15" i="26"/>
  <c r="R15" i="26" s="1"/>
  <c r="I130" i="22" s="1"/>
  <c r="N15" i="26"/>
  <c r="O15" i="26" s="1"/>
  <c r="J79" i="22" s="1"/>
  <c r="L15" i="26"/>
  <c r="M15" i="26" s="1"/>
  <c r="I221" i="22" s="1"/>
  <c r="S14" i="26"/>
  <c r="T14" i="26" s="1"/>
  <c r="J138" i="22" s="1"/>
  <c r="Q14" i="26"/>
  <c r="R14" i="26" s="1"/>
  <c r="I186" i="22" s="1"/>
  <c r="N14" i="26"/>
  <c r="O14" i="26" s="1"/>
  <c r="J87" i="22" s="1"/>
  <c r="L14" i="26"/>
  <c r="M14" i="26" s="1"/>
  <c r="S13" i="26"/>
  <c r="T13" i="26" s="1"/>
  <c r="J185" i="22" s="1"/>
  <c r="Q13" i="26"/>
  <c r="R13" i="26" s="1"/>
  <c r="I137" i="22" s="1"/>
  <c r="N13" i="26"/>
  <c r="O13" i="26" s="1"/>
  <c r="J16" i="22" s="1"/>
  <c r="L13" i="26"/>
  <c r="M13" i="26" s="1"/>
  <c r="S12" i="26"/>
  <c r="T12" i="26" s="1"/>
  <c r="Q12" i="26"/>
  <c r="R12" i="26" s="1"/>
  <c r="N12" i="26"/>
  <c r="O12" i="26" s="1"/>
  <c r="J15" i="22" s="1"/>
  <c r="L12" i="26"/>
  <c r="M12" i="26" s="1"/>
  <c r="I220" i="22" s="1"/>
  <c r="S11" i="26"/>
  <c r="T11" i="26" s="1"/>
  <c r="J118" i="22" s="1"/>
  <c r="Q11" i="26"/>
  <c r="R11" i="26" s="1"/>
  <c r="N11" i="26"/>
  <c r="O11" i="26" s="1"/>
  <c r="J11" i="22" s="1"/>
  <c r="L11" i="26"/>
  <c r="M11" i="26" s="1"/>
  <c r="T10" i="26"/>
  <c r="S10" i="26"/>
  <c r="R10" i="26"/>
  <c r="U10" i="26" s="1"/>
  <c r="Q10" i="26"/>
  <c r="N10" i="26"/>
  <c r="O10" i="26" s="1"/>
  <c r="J34" i="22" s="1"/>
  <c r="L10" i="26"/>
  <c r="M10" i="26" s="1"/>
  <c r="S9" i="26"/>
  <c r="T9" i="26" s="1"/>
  <c r="J166" i="22" s="1"/>
  <c r="Q9" i="26"/>
  <c r="R9" i="26" s="1"/>
  <c r="I117" i="22" s="1"/>
  <c r="N9" i="26"/>
  <c r="O9" i="26" s="1"/>
  <c r="J10" i="22" s="1"/>
  <c r="L9" i="26"/>
  <c r="M9" i="26" s="1"/>
  <c r="S8" i="26"/>
  <c r="T8" i="26" s="1"/>
  <c r="J115" i="22" s="1"/>
  <c r="Q8" i="26"/>
  <c r="R8" i="26" s="1"/>
  <c r="I115" i="22" s="1"/>
  <c r="N8" i="26"/>
  <c r="O8" i="26" s="1"/>
  <c r="J6" i="22" s="1"/>
  <c r="L8" i="26"/>
  <c r="M8" i="26" s="1"/>
  <c r="I58" i="22" s="1"/>
  <c r="S7" i="26"/>
  <c r="T7" i="26" s="1"/>
  <c r="J136" i="22" s="1"/>
  <c r="R7" i="26"/>
  <c r="Q7" i="26"/>
  <c r="N7" i="26"/>
  <c r="O7" i="26" s="1"/>
  <c r="J33" i="22" s="1"/>
  <c r="L7" i="26"/>
  <c r="M7" i="26" s="1"/>
  <c r="S6" i="26"/>
  <c r="T6" i="26" s="1"/>
  <c r="J116" i="22" s="1"/>
  <c r="Q6" i="26"/>
  <c r="R6" i="26" s="1"/>
  <c r="U6" i="26" s="1"/>
  <c r="N6" i="26"/>
  <c r="O6" i="26" s="1"/>
  <c r="J7" i="22" s="1"/>
  <c r="L6" i="26"/>
  <c r="M6" i="26" s="1"/>
  <c r="I59" i="22" s="1"/>
  <c r="G354" i="22"/>
  <c r="G343" i="22"/>
  <c r="G268" i="25"/>
  <c r="X268" i="25" s="1"/>
  <c r="G260" i="25"/>
  <c r="X260" i="25" s="1"/>
  <c r="Z355" i="22"/>
  <c r="Y355" i="22" s="1"/>
  <c r="X355" i="22"/>
  <c r="X417" i="22"/>
  <c r="Z428" i="22"/>
  <c r="Y428" i="22" s="1"/>
  <c r="X428" i="22"/>
  <c r="Z427" i="22"/>
  <c r="Y427" i="22" s="1"/>
  <c r="X427" i="22"/>
  <c r="Z426" i="22"/>
  <c r="Y426" i="22" s="1"/>
  <c r="X426" i="22"/>
  <c r="Z425" i="22"/>
  <c r="Y425" i="22" s="1"/>
  <c r="X425" i="22"/>
  <c r="Z417" i="22"/>
  <c r="Y417" i="22" s="1"/>
  <c r="Z416" i="22"/>
  <c r="Y416" i="22" s="1"/>
  <c r="X416" i="22"/>
  <c r="Z415" i="22"/>
  <c r="Y415" i="22" s="1"/>
  <c r="X415" i="22"/>
  <c r="Z414" i="22"/>
  <c r="Y414" i="22" s="1"/>
  <c r="X414" i="22"/>
  <c r="Z320" i="25"/>
  <c r="Y320" i="25" s="1"/>
  <c r="X320" i="25"/>
  <c r="Z319" i="25"/>
  <c r="Y319" i="25" s="1"/>
  <c r="X319" i="25"/>
  <c r="Z318" i="25"/>
  <c r="Y318" i="25" s="1"/>
  <c r="X318" i="25"/>
  <c r="Z317" i="25"/>
  <c r="Y317" i="25" s="1"/>
  <c r="X317" i="25"/>
  <c r="Z310" i="25"/>
  <c r="Y310" i="25" s="1"/>
  <c r="X310" i="25"/>
  <c r="Z309" i="25"/>
  <c r="Y309" i="25" s="1"/>
  <c r="X309" i="25"/>
  <c r="Z308" i="25"/>
  <c r="Y308" i="25" s="1"/>
  <c r="X308" i="25"/>
  <c r="H250" i="25"/>
  <c r="H240" i="25"/>
  <c r="H230" i="25"/>
  <c r="H220" i="25"/>
  <c r="H206" i="25"/>
  <c r="H169" i="25"/>
  <c r="H168" i="25"/>
  <c r="H167" i="25"/>
  <c r="H157" i="25"/>
  <c r="H156" i="25"/>
  <c r="H155" i="25"/>
  <c r="H136" i="25"/>
  <c r="H135" i="25"/>
  <c r="H134" i="25"/>
  <c r="H133" i="25"/>
  <c r="H132" i="25"/>
  <c r="H131" i="25"/>
  <c r="H104" i="25"/>
  <c r="H103" i="25"/>
  <c r="H102" i="25"/>
  <c r="H101" i="25"/>
  <c r="H100" i="25"/>
  <c r="H99" i="25"/>
  <c r="H69" i="25"/>
  <c r="H68" i="25"/>
  <c r="Z68" i="25" s="1"/>
  <c r="Y68" i="25" s="1"/>
  <c r="H67" i="25"/>
  <c r="H66" i="25"/>
  <c r="H65" i="25"/>
  <c r="H64" i="25"/>
  <c r="H32" i="25"/>
  <c r="X32" i="25" s="1"/>
  <c r="H31" i="25"/>
  <c r="H30" i="25"/>
  <c r="H29" i="25"/>
  <c r="H28" i="25"/>
  <c r="H27" i="25"/>
  <c r="X27" i="25" s="1"/>
  <c r="Z344" i="25"/>
  <c r="Y344" i="25" s="1"/>
  <c r="X344" i="25"/>
  <c r="Z343" i="25"/>
  <c r="Y343" i="25" s="1"/>
  <c r="X343" i="25"/>
  <c r="Z342" i="25"/>
  <c r="Y342" i="25" s="1"/>
  <c r="X342" i="25"/>
  <c r="Z341" i="25"/>
  <c r="Y341" i="25" s="1"/>
  <c r="X341" i="25"/>
  <c r="Z340" i="25"/>
  <c r="Y340" i="25" s="1"/>
  <c r="X340" i="25"/>
  <c r="Z332" i="25"/>
  <c r="Y332" i="25" s="1"/>
  <c r="X332" i="25"/>
  <c r="Z331" i="25"/>
  <c r="Y331" i="25" s="1"/>
  <c r="X331" i="25"/>
  <c r="Z330" i="25"/>
  <c r="Y330" i="25" s="1"/>
  <c r="X330" i="25"/>
  <c r="Z329" i="25"/>
  <c r="Y329" i="25" s="1"/>
  <c r="X329" i="25"/>
  <c r="Z328" i="25"/>
  <c r="Y328" i="25" s="1"/>
  <c r="X328" i="25"/>
  <c r="Z307" i="25"/>
  <c r="Y307" i="25" s="1"/>
  <c r="X307" i="25"/>
  <c r="G298" i="25"/>
  <c r="G297" i="25"/>
  <c r="G296" i="25"/>
  <c r="G295" i="25"/>
  <c r="G294" i="25"/>
  <c r="G292" i="25"/>
  <c r="G293" i="25"/>
  <c r="G290" i="25"/>
  <c r="G291" i="25"/>
  <c r="AB136" i="25"/>
  <c r="E136" i="25" s="1"/>
  <c r="AB135" i="25"/>
  <c r="E135" i="25" s="1"/>
  <c r="AB134" i="25"/>
  <c r="AB133" i="25"/>
  <c r="E133" i="25" s="1"/>
  <c r="AB132" i="25"/>
  <c r="E132" i="25" s="1"/>
  <c r="AB131" i="25"/>
  <c r="E131" i="25" s="1"/>
  <c r="AB130" i="25"/>
  <c r="AB129" i="25"/>
  <c r="AC128" i="25"/>
  <c r="AB128" i="25"/>
  <c r="AB127" i="25"/>
  <c r="AB126" i="25"/>
  <c r="AB125" i="25"/>
  <c r="E125" i="25" s="1"/>
  <c r="AB124" i="25"/>
  <c r="E124" i="25" s="1"/>
  <c r="AB123" i="25"/>
  <c r="AB122" i="25"/>
  <c r="AB121" i="25"/>
  <c r="E121" i="25" s="1"/>
  <c r="AB120" i="25"/>
  <c r="E120" i="25" s="1"/>
  <c r="AB119" i="25"/>
  <c r="AB118" i="25"/>
  <c r="AB117" i="25"/>
  <c r="E117" i="25" s="1"/>
  <c r="AB116" i="25"/>
  <c r="E116" i="25" s="1"/>
  <c r="AB104" i="25"/>
  <c r="E104" i="25" s="1"/>
  <c r="AB103" i="25"/>
  <c r="E103" i="25" s="1"/>
  <c r="AB102" i="25"/>
  <c r="AB101" i="25"/>
  <c r="E101" i="25" s="1"/>
  <c r="AB100" i="25"/>
  <c r="E100" i="25" s="1"/>
  <c r="AB99" i="25"/>
  <c r="E99" i="25" s="1"/>
  <c r="AB98" i="25"/>
  <c r="AB97" i="25"/>
  <c r="AC96" i="25"/>
  <c r="AB96" i="25"/>
  <c r="AB95" i="25"/>
  <c r="AB94" i="25"/>
  <c r="AB93" i="25"/>
  <c r="E93" i="25" s="1"/>
  <c r="AB92" i="25"/>
  <c r="E92" i="25" s="1"/>
  <c r="AB91" i="25"/>
  <c r="AB90" i="25"/>
  <c r="AB89" i="25"/>
  <c r="E89" i="25" s="1"/>
  <c r="AB88" i="25"/>
  <c r="E88" i="25" s="1"/>
  <c r="AB87" i="25"/>
  <c r="AB86" i="25"/>
  <c r="AB85" i="25"/>
  <c r="E85" i="25" s="1"/>
  <c r="AB84" i="25"/>
  <c r="E84" i="25" s="1"/>
  <c r="AB69" i="25"/>
  <c r="D69" i="25"/>
  <c r="AB68" i="25"/>
  <c r="D68" i="25"/>
  <c r="AB67" i="25"/>
  <c r="AB66" i="25"/>
  <c r="E66" i="25" s="1"/>
  <c r="D66" i="25"/>
  <c r="AB65" i="25"/>
  <c r="E65" i="25" s="1"/>
  <c r="D65" i="25"/>
  <c r="AB64" i="25"/>
  <c r="E64" i="25" s="1"/>
  <c r="D64" i="25"/>
  <c r="AB63" i="25"/>
  <c r="AB62" i="25"/>
  <c r="AB61" i="25"/>
  <c r="D63" i="25"/>
  <c r="AB60" i="25"/>
  <c r="D62" i="25"/>
  <c r="AB59" i="25"/>
  <c r="D61" i="25"/>
  <c r="AB58" i="25"/>
  <c r="D60" i="25"/>
  <c r="AB57" i="25"/>
  <c r="E57" i="25" s="1"/>
  <c r="AB56" i="25"/>
  <c r="D58" i="25"/>
  <c r="AB55" i="25"/>
  <c r="E55" i="25" s="1"/>
  <c r="D57" i="25"/>
  <c r="AB54" i="25"/>
  <c r="E54" i="25" s="1"/>
  <c r="D54" i="25"/>
  <c r="AB53" i="25"/>
  <c r="E53" i="25" s="1"/>
  <c r="D51" i="25"/>
  <c r="AB52" i="25"/>
  <c r="E52" i="25" s="1"/>
  <c r="D50" i="25"/>
  <c r="AB51" i="25"/>
  <c r="E51" i="25" s="1"/>
  <c r="D53" i="25"/>
  <c r="AB50" i="25"/>
  <c r="E50" i="25" s="1"/>
  <c r="D52" i="25"/>
  <c r="AB49" i="25"/>
  <c r="E49" i="25" s="1"/>
  <c r="D49" i="25"/>
  <c r="AB48" i="25"/>
  <c r="E48" i="25" s="1"/>
  <c r="D47" i="25"/>
  <c r="AB47" i="25"/>
  <c r="E47" i="25" s="1"/>
  <c r="D48" i="25"/>
  <c r="AB46" i="25"/>
  <c r="AB45" i="25"/>
  <c r="E45" i="25" s="1"/>
  <c r="D45" i="25"/>
  <c r="AB44" i="25"/>
  <c r="E44" i="25" s="1"/>
  <c r="D44" i="25"/>
  <c r="AB43" i="25"/>
  <c r="E43" i="25" s="1"/>
  <c r="D43" i="25"/>
  <c r="AB32" i="25"/>
  <c r="D32" i="25"/>
  <c r="AB31" i="25"/>
  <c r="D31" i="25"/>
  <c r="AB30" i="25"/>
  <c r="AB29" i="25"/>
  <c r="E29" i="25" s="1"/>
  <c r="D29" i="25"/>
  <c r="AB28" i="25"/>
  <c r="E28" i="25" s="1"/>
  <c r="D28" i="25"/>
  <c r="AB27" i="25"/>
  <c r="E27" i="25" s="1"/>
  <c r="D27" i="25"/>
  <c r="AB26" i="25"/>
  <c r="AB25" i="25"/>
  <c r="AB24" i="25"/>
  <c r="D26" i="25"/>
  <c r="AB23" i="25"/>
  <c r="D25" i="25"/>
  <c r="AB22" i="25"/>
  <c r="D24" i="25"/>
  <c r="AB21" i="25"/>
  <c r="E21" i="25" s="1"/>
  <c r="D23" i="25"/>
  <c r="AB20" i="25"/>
  <c r="AB19" i="25"/>
  <c r="D21" i="25"/>
  <c r="AB18" i="25"/>
  <c r="D20" i="25"/>
  <c r="AB17" i="25"/>
  <c r="E17" i="25" s="1"/>
  <c r="D17" i="25"/>
  <c r="AB16" i="25"/>
  <c r="D14" i="25"/>
  <c r="AB15" i="25"/>
  <c r="D13" i="25"/>
  <c r="AB14" i="25"/>
  <c r="D16" i="25"/>
  <c r="AB13" i="25"/>
  <c r="D15" i="25"/>
  <c r="AB12" i="25"/>
  <c r="E12" i="25" s="1"/>
  <c r="D12" i="25"/>
  <c r="AB11" i="25"/>
  <c r="D10" i="25"/>
  <c r="AB10" i="25"/>
  <c r="D11" i="25"/>
  <c r="AB9" i="25"/>
  <c r="AB8" i="25"/>
  <c r="E8" i="25" s="1"/>
  <c r="D8" i="25"/>
  <c r="AB7" i="25"/>
  <c r="E7" i="25" s="1"/>
  <c r="D7" i="25"/>
  <c r="AB6" i="25"/>
  <c r="E6" i="25" s="1"/>
  <c r="D6" i="25"/>
  <c r="Z455" i="22"/>
  <c r="Y455" i="22" s="1"/>
  <c r="X455" i="22"/>
  <c r="Z454" i="22"/>
  <c r="Y454" i="22" s="1"/>
  <c r="X454" i="22"/>
  <c r="Z453" i="22"/>
  <c r="Y453" i="22" s="1"/>
  <c r="X453" i="22"/>
  <c r="Z452" i="22"/>
  <c r="Y452" i="22" s="1"/>
  <c r="X452" i="22"/>
  <c r="Z443" i="22"/>
  <c r="Y443" i="22" s="1"/>
  <c r="X443" i="22"/>
  <c r="Z442" i="22"/>
  <c r="Y442" i="22" s="1"/>
  <c r="X442" i="22"/>
  <c r="Z441" i="22"/>
  <c r="Y441" i="22" s="1"/>
  <c r="X441" i="22"/>
  <c r="Z440" i="22"/>
  <c r="Y440" i="22" s="1"/>
  <c r="X440" i="22"/>
  <c r="T332" i="22" l="1"/>
  <c r="U332" i="22" s="1"/>
  <c r="T331" i="22"/>
  <c r="U331" i="22" s="1"/>
  <c r="H296" i="22"/>
  <c r="Q202" i="22"/>
  <c r="H99" i="22"/>
  <c r="T99" i="22"/>
  <c r="E26" i="30"/>
  <c r="E12" i="30"/>
  <c r="E123" i="30"/>
  <c r="E90" i="30"/>
  <c r="E64" i="30"/>
  <c r="E134" i="30"/>
  <c r="E135" i="30"/>
  <c r="E18" i="30"/>
  <c r="E169" i="30"/>
  <c r="E10" i="30"/>
  <c r="E171" i="30"/>
  <c r="E178" i="30"/>
  <c r="E91" i="30"/>
  <c r="E130" i="30"/>
  <c r="E21" i="30"/>
  <c r="E70" i="30"/>
  <c r="E76" i="30"/>
  <c r="E117" i="30"/>
  <c r="E164" i="30"/>
  <c r="E177" i="30"/>
  <c r="E37" i="30"/>
  <c r="E66" i="30"/>
  <c r="E118" i="30"/>
  <c r="E133" i="30"/>
  <c r="E9" i="30"/>
  <c r="E8" i="30"/>
  <c r="E16" i="30"/>
  <c r="E24" i="30"/>
  <c r="E23" i="30"/>
  <c r="E34" i="30"/>
  <c r="E15" i="30"/>
  <c r="E75" i="30"/>
  <c r="E67" i="30"/>
  <c r="E86" i="30"/>
  <c r="E62" i="30"/>
  <c r="E92" i="30"/>
  <c r="E61" i="30"/>
  <c r="E60" i="30"/>
  <c r="E78" i="30"/>
  <c r="E68" i="30"/>
  <c r="E116" i="30"/>
  <c r="E126" i="30"/>
  <c r="E127" i="30"/>
  <c r="E121" i="30"/>
  <c r="E175" i="30"/>
  <c r="E165" i="30"/>
  <c r="E174" i="30"/>
  <c r="E166" i="30"/>
  <c r="E192" i="30"/>
  <c r="E181" i="30"/>
  <c r="E182" i="30"/>
  <c r="X379" i="30"/>
  <c r="K221" i="30"/>
  <c r="N178" i="30"/>
  <c r="K16" i="30"/>
  <c r="K10" i="30"/>
  <c r="H24" i="30"/>
  <c r="K190" i="30"/>
  <c r="H171" i="30"/>
  <c r="N187" i="30"/>
  <c r="N168" i="30"/>
  <c r="K22" i="30"/>
  <c r="X22" i="30" s="1"/>
  <c r="K301" i="30"/>
  <c r="H16" i="30"/>
  <c r="H10" i="30"/>
  <c r="H38" i="30"/>
  <c r="H19" i="30"/>
  <c r="N114" i="30"/>
  <c r="K38" i="30"/>
  <c r="H66" i="30"/>
  <c r="H177" i="30"/>
  <c r="N235" i="30"/>
  <c r="H116" i="30"/>
  <c r="H135" i="30"/>
  <c r="K128" i="30"/>
  <c r="K247" i="30"/>
  <c r="K273" i="30"/>
  <c r="H290" i="30"/>
  <c r="N25" i="30"/>
  <c r="H81" i="30"/>
  <c r="N142" i="30"/>
  <c r="K166" i="30"/>
  <c r="K8" i="30"/>
  <c r="H91" i="30"/>
  <c r="H76" i="30"/>
  <c r="H71" i="30"/>
  <c r="N120" i="30"/>
  <c r="K165" i="30"/>
  <c r="K250" i="30"/>
  <c r="K272" i="30"/>
  <c r="H288" i="30"/>
  <c r="H291" i="30"/>
  <c r="K311" i="30"/>
  <c r="H117" i="30"/>
  <c r="K119" i="30"/>
  <c r="H163" i="30"/>
  <c r="H192" i="30"/>
  <c r="N174" i="30"/>
  <c r="H193" i="30"/>
  <c r="K233" i="30"/>
  <c r="H312" i="30"/>
  <c r="N39" i="30"/>
  <c r="H70" i="30"/>
  <c r="H73" i="30"/>
  <c r="N71" i="30"/>
  <c r="N135" i="30"/>
  <c r="H259" i="30"/>
  <c r="K33" i="30"/>
  <c r="H65" i="30"/>
  <c r="K90" i="30"/>
  <c r="N91" i="30"/>
  <c r="H173" i="30"/>
  <c r="N140" i="30"/>
  <c r="N124" i="30"/>
  <c r="K84" i="30"/>
  <c r="H128" i="30"/>
  <c r="K164" i="30"/>
  <c r="K168" i="30"/>
  <c r="H6" i="30"/>
  <c r="K9" i="30"/>
  <c r="H37" i="30"/>
  <c r="H25" i="30"/>
  <c r="N20" i="30"/>
  <c r="X20" i="30" s="1"/>
  <c r="K70" i="30"/>
  <c r="N63" i="30"/>
  <c r="K130" i="30"/>
  <c r="N125" i="30"/>
  <c r="H141" i="30"/>
  <c r="N127" i="30"/>
  <c r="H277" i="30"/>
  <c r="K6" i="30"/>
  <c r="N31" i="30"/>
  <c r="X31" i="30" s="1"/>
  <c r="N32" i="30"/>
  <c r="K61" i="30"/>
  <c r="K117" i="30"/>
  <c r="H236" i="30"/>
  <c r="K274" i="30"/>
  <c r="H13" i="30"/>
  <c r="H15" i="30"/>
  <c r="H29" i="30"/>
  <c r="X29" i="30" s="1"/>
  <c r="K27" i="30"/>
  <c r="K28" i="30"/>
  <c r="N30" i="30"/>
  <c r="X30" i="30" s="1"/>
  <c r="K59" i="30"/>
  <c r="N83" i="30"/>
  <c r="X83" i="30" s="1"/>
  <c r="N82" i="30"/>
  <c r="N162" i="30"/>
  <c r="K177" i="30"/>
  <c r="N191" i="30"/>
  <c r="K176" i="30"/>
  <c r="H289" i="30"/>
  <c r="X353" i="30"/>
  <c r="K146" i="30"/>
  <c r="K183" i="30"/>
  <c r="N186" i="30"/>
  <c r="H276" i="30"/>
  <c r="H14" i="30"/>
  <c r="N37" i="30"/>
  <c r="N11" i="30"/>
  <c r="N36" i="30"/>
  <c r="N69" i="30"/>
  <c r="H114" i="30"/>
  <c r="N141" i="30"/>
  <c r="H127" i="30"/>
  <c r="H182" i="30"/>
  <c r="N185" i="30"/>
  <c r="N249" i="30"/>
  <c r="N259" i="30"/>
  <c r="N263" i="30"/>
  <c r="H123" i="30"/>
  <c r="X123" i="30" s="1"/>
  <c r="N220" i="30"/>
  <c r="H223" i="30"/>
  <c r="H233" i="30"/>
  <c r="K262" i="30"/>
  <c r="K286" i="30"/>
  <c r="X376" i="30"/>
  <c r="K76" i="30"/>
  <c r="K121" i="30"/>
  <c r="N68" i="30"/>
  <c r="K67" i="30"/>
  <c r="K88" i="30"/>
  <c r="N6" i="30"/>
  <c r="N7" i="30"/>
  <c r="N8" i="30"/>
  <c r="K37" i="30"/>
  <c r="H39" i="30"/>
  <c r="K34" i="30"/>
  <c r="K44" i="30"/>
  <c r="X44" i="30" s="1"/>
  <c r="X46" i="30"/>
  <c r="K66" i="30"/>
  <c r="K25" i="30"/>
  <c r="K26" i="30"/>
  <c r="X26" i="30" s="1"/>
  <c r="N23" i="30"/>
  <c r="H21" i="30"/>
  <c r="Z13" i="30" s="1"/>
  <c r="Y13" i="30" s="1"/>
  <c r="N15" i="30"/>
  <c r="K24" i="30"/>
  <c r="H12" i="30"/>
  <c r="X12" i="30" s="1"/>
  <c r="H8" i="30"/>
  <c r="N28" i="30"/>
  <c r="H59" i="30"/>
  <c r="H61" i="30"/>
  <c r="H67" i="30"/>
  <c r="H85" i="30"/>
  <c r="K74" i="30"/>
  <c r="X74" i="30" s="1"/>
  <c r="N80" i="30"/>
  <c r="H115" i="30"/>
  <c r="H121" i="30"/>
  <c r="H130" i="30"/>
  <c r="K139" i="30"/>
  <c r="N137" i="30"/>
  <c r="K175" i="30"/>
  <c r="K174" i="30"/>
  <c r="K187" i="30"/>
  <c r="K167" i="30"/>
  <c r="K234" i="30"/>
  <c r="K260" i="30"/>
  <c r="N275" i="30"/>
  <c r="H322" i="30"/>
  <c r="Z373" i="30"/>
  <c r="Y373" i="30" s="1"/>
  <c r="Z376" i="30"/>
  <c r="Y376" i="30" s="1"/>
  <c r="K141" i="30"/>
  <c r="N132" i="30"/>
  <c r="H165" i="30"/>
  <c r="H247" i="30"/>
  <c r="N167" i="30"/>
  <c r="H272" i="30"/>
  <c r="X359" i="30"/>
  <c r="N84" i="30"/>
  <c r="H169" i="30"/>
  <c r="K32" i="30"/>
  <c r="Z32" i="30" s="1"/>
  <c r="Y32" i="30" s="1"/>
  <c r="K36" i="30"/>
  <c r="H60" i="30"/>
  <c r="H68" i="30"/>
  <c r="K62" i="30"/>
  <c r="H77" i="30"/>
  <c r="K114" i="30"/>
  <c r="N115" i="30"/>
  <c r="K116" i="30"/>
  <c r="H120" i="30"/>
  <c r="H126" i="30"/>
  <c r="K180" i="30"/>
  <c r="N188" i="30"/>
  <c r="K249" i="30"/>
  <c r="H311" i="30"/>
  <c r="K321" i="30"/>
  <c r="X370" i="30"/>
  <c r="N183" i="30"/>
  <c r="N189" i="30"/>
  <c r="K179" i="30"/>
  <c r="N180" i="30"/>
  <c r="K80" i="30"/>
  <c r="N116" i="30"/>
  <c r="K120" i="30"/>
  <c r="H143" i="30"/>
  <c r="N163" i="30"/>
  <c r="H175" i="30"/>
  <c r="N288" i="30"/>
  <c r="X374" i="30"/>
  <c r="K71" i="30"/>
  <c r="N75" i="30"/>
  <c r="K63" i="30"/>
  <c r="X63" i="30" s="1"/>
  <c r="H133" i="30"/>
  <c r="K126" i="30"/>
  <c r="Z378" i="30"/>
  <c r="Y378" i="30" s="1"/>
  <c r="X378" i="30"/>
  <c r="K19" i="30"/>
  <c r="N34" i="30"/>
  <c r="K11" i="30"/>
  <c r="K35" i="30"/>
  <c r="X35" i="30" s="1"/>
  <c r="K60" i="30"/>
  <c r="K68" i="30"/>
  <c r="N67" i="30"/>
  <c r="K85" i="30"/>
  <c r="K89" i="30"/>
  <c r="N86" i="30"/>
  <c r="K87" i="30"/>
  <c r="X87" i="30" s="1"/>
  <c r="N88" i="30"/>
  <c r="H134" i="30"/>
  <c r="H125" i="30"/>
  <c r="K133" i="30"/>
  <c r="N126" i="30"/>
  <c r="K127" i="30"/>
  <c r="N164" i="30"/>
  <c r="K220" i="30"/>
  <c r="H18" i="30"/>
  <c r="X18" i="30" s="1"/>
  <c r="N16" i="30"/>
  <c r="K14" i="30"/>
  <c r="K15" i="30"/>
  <c r="N19" i="30"/>
  <c r="K43" i="30"/>
  <c r="X43" i="30" s="1"/>
  <c r="H64" i="30"/>
  <c r="N60" i="30"/>
  <c r="H90" i="30"/>
  <c r="N89" i="30"/>
  <c r="N77" i="30"/>
  <c r="K79" i="30"/>
  <c r="K135" i="30"/>
  <c r="K125" i="30"/>
  <c r="K140" i="30"/>
  <c r="K188" i="30"/>
  <c r="Z361" i="30"/>
  <c r="Y361" i="30" s="1"/>
  <c r="K118" i="30"/>
  <c r="K131" i="30"/>
  <c r="K145" i="30"/>
  <c r="K189" i="30"/>
  <c r="H7" i="30"/>
  <c r="H58" i="30"/>
  <c r="K7" i="30"/>
  <c r="H9" i="30"/>
  <c r="H33" i="30"/>
  <c r="H40" i="30"/>
  <c r="K23" i="30"/>
  <c r="N17" i="30"/>
  <c r="X17" i="30" s="1"/>
  <c r="K58" i="30"/>
  <c r="H62" i="30"/>
  <c r="K75" i="30"/>
  <c r="N72" i="30"/>
  <c r="K115" i="30"/>
  <c r="H142" i="30"/>
  <c r="K162" i="30"/>
  <c r="K163" i="30"/>
  <c r="H168" i="30"/>
  <c r="H166" i="30"/>
  <c r="K173" i="30"/>
  <c r="K195" i="30"/>
  <c r="H234" i="30"/>
  <c r="H260" i="30"/>
  <c r="K261" i="30"/>
  <c r="N272" i="30"/>
  <c r="H273" i="30"/>
  <c r="N274" i="30"/>
  <c r="K277" i="30"/>
  <c r="N286" i="30"/>
  <c r="H302" i="30"/>
  <c r="Z352" i="30"/>
  <c r="Y352" i="30" s="1"/>
  <c r="X377" i="30"/>
  <c r="Z351" i="30"/>
  <c r="Y351" i="30" s="1"/>
  <c r="X372" i="30"/>
  <c r="N119" i="30"/>
  <c r="N173" i="30"/>
  <c r="H219" i="30"/>
  <c r="N261" i="30"/>
  <c r="H287" i="30"/>
  <c r="K291" i="30"/>
  <c r="N292" i="30"/>
  <c r="H321" i="30"/>
  <c r="Z355" i="30"/>
  <c r="Y355" i="30" s="1"/>
  <c r="Z370" i="30"/>
  <c r="Y370" i="30" s="1"/>
  <c r="H164" i="30"/>
  <c r="H191" i="30"/>
  <c r="H186" i="30"/>
  <c r="H274" i="30"/>
  <c r="H286" i="30"/>
  <c r="K287" i="30"/>
  <c r="H301" i="30"/>
  <c r="X351" i="30"/>
  <c r="N122" i="30"/>
  <c r="K169" i="30"/>
  <c r="H189" i="30"/>
  <c r="N170" i="30"/>
  <c r="N222" i="30"/>
  <c r="H232" i="30"/>
  <c r="N247" i="30"/>
  <c r="X361" i="30"/>
  <c r="H162" i="30"/>
  <c r="K184" i="30"/>
  <c r="K232" i="30"/>
  <c r="K248" i="30"/>
  <c r="K288" i="30"/>
  <c r="X357" i="30"/>
  <c r="Z377" i="30"/>
  <c r="Y377" i="30" s="1"/>
  <c r="AG174" i="30"/>
  <c r="AF174" i="30"/>
  <c r="AD174" i="30"/>
  <c r="AF126" i="30"/>
  <c r="AH174" i="30"/>
  <c r="AE174" i="30"/>
  <c r="AH126" i="30"/>
  <c r="AE126" i="30"/>
  <c r="AG126" i="30"/>
  <c r="AD126" i="30"/>
  <c r="X41" i="30"/>
  <c r="X42" i="30"/>
  <c r="X45" i="30"/>
  <c r="X99" i="30"/>
  <c r="N59" i="30"/>
  <c r="K77" i="30"/>
  <c r="H92" i="30"/>
  <c r="K78" i="30"/>
  <c r="K96" i="30"/>
  <c r="N58" i="30"/>
  <c r="H89" i="30"/>
  <c r="X97" i="30"/>
  <c r="K129" i="30"/>
  <c r="H181" i="30"/>
  <c r="H174" i="30"/>
  <c r="N138" i="30"/>
  <c r="K181" i="30"/>
  <c r="Z374" i="30"/>
  <c r="Y374" i="30" s="1"/>
  <c r="H118" i="30"/>
  <c r="K132" i="30"/>
  <c r="N139" i="30"/>
  <c r="Z359" i="30"/>
  <c r="Y359" i="30" s="1"/>
  <c r="H138" i="30"/>
  <c r="H144" i="30"/>
  <c r="K136" i="30"/>
  <c r="H183" i="30"/>
  <c r="Z341" i="30"/>
  <c r="Y341" i="30" s="1"/>
  <c r="X341" i="30"/>
  <c r="Z358" i="30"/>
  <c r="Y358" i="30" s="1"/>
  <c r="Z354" i="30"/>
  <c r="Y354" i="30" s="1"/>
  <c r="Z379" i="30"/>
  <c r="Y379" i="30" s="1"/>
  <c r="K219" i="30"/>
  <c r="N233" i="30"/>
  <c r="Z357" i="30"/>
  <c r="Y357" i="30" s="1"/>
  <c r="Z372" i="30"/>
  <c r="Y372" i="30" s="1"/>
  <c r="K259" i="30"/>
  <c r="Z353" i="30"/>
  <c r="Y353" i="30" s="1"/>
  <c r="Z360" i="30"/>
  <c r="Y360" i="30" s="1"/>
  <c r="Z371" i="30"/>
  <c r="Y371" i="30" s="1"/>
  <c r="Z331" i="30"/>
  <c r="Y331" i="30" s="1"/>
  <c r="X331" i="30"/>
  <c r="X354" i="30"/>
  <c r="X356" i="30"/>
  <c r="Z375" i="30"/>
  <c r="Y375" i="30" s="1"/>
  <c r="N172" i="30"/>
  <c r="H248" i="30"/>
  <c r="H275" i="30"/>
  <c r="Z356" i="30"/>
  <c r="Y356" i="30" s="1"/>
  <c r="X358" i="30"/>
  <c r="X371" i="30"/>
  <c r="X352" i="30"/>
  <c r="X360" i="30"/>
  <c r="X373" i="30"/>
  <c r="X355" i="30"/>
  <c r="X375" i="30"/>
  <c r="Q296" i="22"/>
  <c r="Z296" i="22" s="1"/>
  <c r="Y296" i="22" s="1"/>
  <c r="T296" i="22"/>
  <c r="N296" i="22"/>
  <c r="K99" i="22"/>
  <c r="T151" i="22"/>
  <c r="W99" i="22"/>
  <c r="Q201" i="22"/>
  <c r="T202" i="22"/>
  <c r="K202" i="22"/>
  <c r="W202" i="22"/>
  <c r="H201" i="22"/>
  <c r="Q99" i="22"/>
  <c r="W151" i="22"/>
  <c r="T201" i="22"/>
  <c r="K201" i="22"/>
  <c r="W201" i="22"/>
  <c r="Q151" i="22"/>
  <c r="H151" i="22"/>
  <c r="K151" i="22"/>
  <c r="T200" i="22"/>
  <c r="H200" i="22"/>
  <c r="W200" i="22"/>
  <c r="Z384" i="22"/>
  <c r="Y384" i="22" s="1"/>
  <c r="Q200" i="22"/>
  <c r="X384" i="22"/>
  <c r="Q150" i="22"/>
  <c r="K200" i="22"/>
  <c r="T98" i="22"/>
  <c r="T199" i="22"/>
  <c r="T46" i="22"/>
  <c r="Q98" i="22"/>
  <c r="H150" i="22"/>
  <c r="T150" i="22"/>
  <c r="K150" i="22"/>
  <c r="W150" i="22"/>
  <c r="Q197" i="22"/>
  <c r="H46" i="22"/>
  <c r="K98" i="22"/>
  <c r="H98" i="22"/>
  <c r="W98" i="22"/>
  <c r="H199" i="22"/>
  <c r="W44" i="22"/>
  <c r="K224" i="22"/>
  <c r="Q199" i="22"/>
  <c r="K46" i="22"/>
  <c r="W46" i="22"/>
  <c r="T149" i="22"/>
  <c r="H149" i="22"/>
  <c r="K149" i="22"/>
  <c r="K199" i="22"/>
  <c r="W199" i="22"/>
  <c r="Q149" i="22"/>
  <c r="T148" i="22"/>
  <c r="W149" i="22"/>
  <c r="K197" i="22"/>
  <c r="W197" i="22"/>
  <c r="Q148" i="22"/>
  <c r="Q97" i="22"/>
  <c r="T198" i="22"/>
  <c r="W97" i="22"/>
  <c r="K97" i="22"/>
  <c r="H97" i="22"/>
  <c r="T97" i="22"/>
  <c r="H198" i="22"/>
  <c r="T45" i="22"/>
  <c r="K45" i="22"/>
  <c r="N45" i="22"/>
  <c r="H45" i="22"/>
  <c r="W45" i="22"/>
  <c r="Q198" i="22"/>
  <c r="H148" i="22"/>
  <c r="W198" i="22"/>
  <c r="K198" i="22"/>
  <c r="K148" i="22"/>
  <c r="H224" i="22"/>
  <c r="H147" i="22"/>
  <c r="N197" i="22"/>
  <c r="W148" i="22"/>
  <c r="H96" i="22"/>
  <c r="T96" i="22"/>
  <c r="T237" i="22"/>
  <c r="N147" i="22"/>
  <c r="H197" i="22"/>
  <c r="T197" i="22"/>
  <c r="Q147" i="22"/>
  <c r="W147" i="22"/>
  <c r="W237" i="22"/>
  <c r="K147" i="22"/>
  <c r="T147" i="22"/>
  <c r="Q224" i="22"/>
  <c r="Q237" i="22"/>
  <c r="H237" i="22"/>
  <c r="K237" i="22"/>
  <c r="N237" i="22"/>
  <c r="N44" i="22"/>
  <c r="N145" i="22"/>
  <c r="T146" i="22"/>
  <c r="W96" i="22"/>
  <c r="K44" i="22"/>
  <c r="N224" i="22"/>
  <c r="T224" i="22"/>
  <c r="W224" i="22"/>
  <c r="T145" i="22"/>
  <c r="N146" i="22"/>
  <c r="T196" i="22"/>
  <c r="Q96" i="22"/>
  <c r="K96" i="22"/>
  <c r="N96" i="22"/>
  <c r="N195" i="22"/>
  <c r="W195" i="22"/>
  <c r="N196" i="22"/>
  <c r="T44" i="22"/>
  <c r="H44" i="22"/>
  <c r="W196" i="22"/>
  <c r="Q145" i="22"/>
  <c r="Q196" i="22"/>
  <c r="W43" i="22"/>
  <c r="K43" i="22"/>
  <c r="W145" i="22"/>
  <c r="K196" i="22"/>
  <c r="H196" i="22"/>
  <c r="K145" i="22"/>
  <c r="N41" i="22"/>
  <c r="H43" i="22"/>
  <c r="H145" i="22"/>
  <c r="W146" i="22"/>
  <c r="N43" i="22"/>
  <c r="H146" i="22"/>
  <c r="Q146" i="22"/>
  <c r="K146" i="22"/>
  <c r="T195" i="22"/>
  <c r="K195" i="22"/>
  <c r="H195" i="22"/>
  <c r="T43" i="22"/>
  <c r="N260" i="22"/>
  <c r="Q195" i="22"/>
  <c r="N40" i="22"/>
  <c r="X354" i="22"/>
  <c r="N220" i="22"/>
  <c r="N42" i="22"/>
  <c r="N39" i="22"/>
  <c r="N164" i="22"/>
  <c r="N276" i="22"/>
  <c r="N331" i="22"/>
  <c r="N318" i="22"/>
  <c r="N305" i="22"/>
  <c r="N290" i="22"/>
  <c r="N248" i="22"/>
  <c r="N233" i="22"/>
  <c r="N115" i="22"/>
  <c r="N58" i="22"/>
  <c r="N6" i="22"/>
  <c r="N61" i="28"/>
  <c r="P60" i="28"/>
  <c r="M44" i="28"/>
  <c r="P44" i="28" s="1"/>
  <c r="R44" i="28"/>
  <c r="U44" i="28" s="1"/>
  <c r="S52" i="28"/>
  <c r="T52" i="28" s="1"/>
  <c r="U52" i="28"/>
  <c r="M51" i="28"/>
  <c r="P51" i="28" s="1"/>
  <c r="R43" i="28"/>
  <c r="M43" i="28"/>
  <c r="N42" i="28"/>
  <c r="O42" i="28" s="1"/>
  <c r="S42" i="28"/>
  <c r="T42" i="28" s="1"/>
  <c r="S58" i="28"/>
  <c r="T58" i="28" s="1"/>
  <c r="R41" i="28"/>
  <c r="R53" i="28"/>
  <c r="U53" i="28" s="1"/>
  <c r="M52" i="28"/>
  <c r="P52" i="28" s="1"/>
  <c r="M58" i="28"/>
  <c r="S59" i="28"/>
  <c r="K65" i="28"/>
  <c r="N65" i="28" s="1"/>
  <c r="R54" i="28"/>
  <c r="U54" i="28" s="1"/>
  <c r="M53" i="28"/>
  <c r="P53" i="28" s="1"/>
  <c r="R51" i="28"/>
  <c r="U51" i="28" s="1"/>
  <c r="M54" i="28"/>
  <c r="P54" i="28" s="1"/>
  <c r="E127" i="27"/>
  <c r="E116" i="27"/>
  <c r="E32" i="27"/>
  <c r="E18" i="27"/>
  <c r="E15" i="27"/>
  <c r="E76" i="27"/>
  <c r="E79" i="27"/>
  <c r="E152" i="27"/>
  <c r="E62" i="27"/>
  <c r="E146" i="27"/>
  <c r="E125" i="27"/>
  <c r="E166" i="27"/>
  <c r="E64" i="27"/>
  <c r="E61" i="27"/>
  <c r="E33" i="27"/>
  <c r="E124" i="27"/>
  <c r="E117" i="27"/>
  <c r="E16" i="27"/>
  <c r="E109" i="27"/>
  <c r="E150" i="27"/>
  <c r="E29" i="27"/>
  <c r="E55" i="27"/>
  <c r="E75" i="27"/>
  <c r="E120" i="27"/>
  <c r="E164" i="27"/>
  <c r="E157" i="27"/>
  <c r="E70" i="27"/>
  <c r="E30" i="27"/>
  <c r="E105" i="27"/>
  <c r="E78" i="27"/>
  <c r="E148" i="27"/>
  <c r="E160" i="27"/>
  <c r="E145" i="27"/>
  <c r="E147" i="27"/>
  <c r="E158" i="27"/>
  <c r="E168" i="27"/>
  <c r="E165" i="27"/>
  <c r="E156" i="27"/>
  <c r="E113" i="27"/>
  <c r="E104" i="27"/>
  <c r="E106" i="27"/>
  <c r="E111" i="27"/>
  <c r="E107" i="27"/>
  <c r="E115" i="27"/>
  <c r="E71" i="27"/>
  <c r="E66" i="27"/>
  <c r="E57" i="27"/>
  <c r="E68" i="27"/>
  <c r="E59" i="27"/>
  <c r="E60" i="27"/>
  <c r="E56" i="27"/>
  <c r="E31" i="27"/>
  <c r="E8" i="27"/>
  <c r="E20" i="27"/>
  <c r="E25" i="27"/>
  <c r="E9" i="27"/>
  <c r="E22" i="27"/>
  <c r="E13" i="27"/>
  <c r="E14" i="27"/>
  <c r="E10" i="27"/>
  <c r="E24" i="27"/>
  <c r="E34" i="27"/>
  <c r="H245" i="27"/>
  <c r="K63" i="27"/>
  <c r="X63" i="27" s="1"/>
  <c r="H7" i="27"/>
  <c r="K13" i="27"/>
  <c r="K29" i="27"/>
  <c r="H77" i="27"/>
  <c r="H79" i="27"/>
  <c r="X79" i="27" s="1"/>
  <c r="K281" i="27"/>
  <c r="K74" i="27"/>
  <c r="Z83" i="27" s="1"/>
  <c r="Y83" i="27" s="1"/>
  <c r="K104" i="27"/>
  <c r="K147" i="27"/>
  <c r="H157" i="27"/>
  <c r="H72" i="27"/>
  <c r="K67" i="27"/>
  <c r="H203" i="27"/>
  <c r="H18" i="27"/>
  <c r="H229" i="27"/>
  <c r="Z173" i="27"/>
  <c r="Y173" i="27" s="1"/>
  <c r="X173" i="27"/>
  <c r="K260" i="27"/>
  <c r="H167" i="27"/>
  <c r="K163" i="27"/>
  <c r="X163" i="27" s="1"/>
  <c r="H261" i="27"/>
  <c r="H75" i="27"/>
  <c r="K105" i="27"/>
  <c r="K108" i="27"/>
  <c r="K148" i="27"/>
  <c r="K53" i="27"/>
  <c r="H62" i="27"/>
  <c r="K65" i="27"/>
  <c r="H102" i="27"/>
  <c r="K55" i="27"/>
  <c r="H59" i="27"/>
  <c r="K117" i="27"/>
  <c r="K153" i="27"/>
  <c r="H204" i="27"/>
  <c r="K218" i="27"/>
  <c r="K7" i="27"/>
  <c r="K6" i="27"/>
  <c r="K16" i="27"/>
  <c r="H15" i="27"/>
  <c r="K21" i="27"/>
  <c r="K52" i="27"/>
  <c r="H66" i="27"/>
  <c r="K193" i="27"/>
  <c r="K26" i="27"/>
  <c r="K171" i="27"/>
  <c r="K229" i="27"/>
  <c r="K231" i="27"/>
  <c r="X231" i="27" s="1"/>
  <c r="H119" i="27"/>
  <c r="H60" i="27"/>
  <c r="K59" i="27"/>
  <c r="K125" i="27"/>
  <c r="X125" i="27" s="1"/>
  <c r="K121" i="27"/>
  <c r="X121" i="27" s="1"/>
  <c r="K154" i="27"/>
  <c r="H165" i="27"/>
  <c r="K162" i="27"/>
  <c r="K232" i="27"/>
  <c r="H242" i="27"/>
  <c r="H244" i="27"/>
  <c r="K262" i="27"/>
  <c r="K119" i="27"/>
  <c r="H259" i="27"/>
  <c r="K242" i="27"/>
  <c r="K131" i="27"/>
  <c r="H30" i="27"/>
  <c r="K69" i="27"/>
  <c r="Z81" i="27" s="1"/>
  <c r="Y81" i="27" s="1"/>
  <c r="H109" i="27"/>
  <c r="H169" i="27"/>
  <c r="X169" i="27" s="1"/>
  <c r="H243" i="27"/>
  <c r="H247" i="27"/>
  <c r="H76" i="27"/>
  <c r="K113" i="27"/>
  <c r="K130" i="27"/>
  <c r="X130" i="27" s="1"/>
  <c r="H150" i="27"/>
  <c r="X150" i="27" s="1"/>
  <c r="K161" i="27"/>
  <c r="K172" i="27"/>
  <c r="K247" i="27"/>
  <c r="H12" i="27"/>
  <c r="X12" i="27" s="1"/>
  <c r="H13" i="27"/>
  <c r="H20" i="27"/>
  <c r="K76" i="27"/>
  <c r="K80" i="27"/>
  <c r="H113" i="27"/>
  <c r="H117" i="27"/>
  <c r="K144" i="27"/>
  <c r="H147" i="27"/>
  <c r="K158" i="27"/>
  <c r="K152" i="27"/>
  <c r="H161" i="27"/>
  <c r="H193" i="27"/>
  <c r="K243" i="27"/>
  <c r="K245" i="27"/>
  <c r="H281" i="27"/>
  <c r="H291" i="27"/>
  <c r="X326" i="27"/>
  <c r="Z336" i="27"/>
  <c r="Y336" i="27" s="1"/>
  <c r="H14" i="27"/>
  <c r="X14" i="27" s="1"/>
  <c r="K77" i="27"/>
  <c r="Z77" i="27" s="1"/>
  <c r="Y77" i="27" s="1"/>
  <c r="K115" i="27"/>
  <c r="K110" i="27"/>
  <c r="H143" i="27"/>
  <c r="H258" i="27"/>
  <c r="K8" i="27"/>
  <c r="X128" i="27"/>
  <c r="H10" i="27"/>
  <c r="H33" i="27"/>
  <c r="K25" i="27"/>
  <c r="X25" i="27" s="1"/>
  <c r="K27" i="27"/>
  <c r="Z36" i="27" s="1"/>
  <c r="Y36" i="27" s="1"/>
  <c r="H70" i="27"/>
  <c r="K72" i="27"/>
  <c r="K68" i="27"/>
  <c r="X68" i="27" s="1"/>
  <c r="K102" i="27"/>
  <c r="H106" i="27"/>
  <c r="K129" i="27"/>
  <c r="X129" i="27" s="1"/>
  <c r="K143" i="27"/>
  <c r="K160" i="27"/>
  <c r="H164" i="27"/>
  <c r="K166" i="27"/>
  <c r="K159" i="27"/>
  <c r="H230" i="27"/>
  <c r="H246" i="27"/>
  <c r="K258" i="27"/>
  <c r="Z344" i="27"/>
  <c r="Y344" i="27" s="1"/>
  <c r="K10" i="27"/>
  <c r="H24" i="27"/>
  <c r="K60" i="27"/>
  <c r="K75" i="27"/>
  <c r="H78" i="27"/>
  <c r="K71" i="27"/>
  <c r="K73" i="27"/>
  <c r="Z82" i="27" s="1"/>
  <c r="Y82" i="27" s="1"/>
  <c r="H105" i="27"/>
  <c r="H154" i="27"/>
  <c r="H194" i="27"/>
  <c r="H257" i="27"/>
  <c r="H262" i="27"/>
  <c r="H282" i="27"/>
  <c r="H292" i="27"/>
  <c r="H55" i="27"/>
  <c r="H116" i="27"/>
  <c r="H123" i="27"/>
  <c r="H124" i="27"/>
  <c r="Z115" i="27" s="1"/>
  <c r="Y115" i="27" s="1"/>
  <c r="H158" i="27"/>
  <c r="K156" i="27"/>
  <c r="K203" i="27"/>
  <c r="K230" i="27"/>
  <c r="Z337" i="27"/>
  <c r="Y337" i="27" s="1"/>
  <c r="Z341" i="27"/>
  <c r="Y341" i="27" s="1"/>
  <c r="X344" i="27"/>
  <c r="X337" i="27"/>
  <c r="X338" i="27"/>
  <c r="K28" i="27"/>
  <c r="X28" i="27" s="1"/>
  <c r="H58" i="27"/>
  <c r="K56" i="27"/>
  <c r="H61" i="27"/>
  <c r="H146" i="27"/>
  <c r="X321" i="27"/>
  <c r="Z321" i="27"/>
  <c r="Y321" i="27" s="1"/>
  <c r="H9" i="27"/>
  <c r="K31" i="27"/>
  <c r="K17" i="27"/>
  <c r="K39" i="27"/>
  <c r="X39" i="27" s="1"/>
  <c r="H54" i="27"/>
  <c r="K61" i="27"/>
  <c r="K66" i="27"/>
  <c r="X66" i="27" s="1"/>
  <c r="K149" i="27"/>
  <c r="H260" i="27"/>
  <c r="H11" i="27"/>
  <c r="K9" i="27"/>
  <c r="H29" i="27"/>
  <c r="H32" i="27"/>
  <c r="X32" i="27" s="1"/>
  <c r="K41" i="27"/>
  <c r="X41" i="27" s="1"/>
  <c r="K54" i="27"/>
  <c r="H64" i="27"/>
  <c r="X319" i="27"/>
  <c r="H8" i="27"/>
  <c r="H6" i="27"/>
  <c r="H16" i="27"/>
  <c r="H56" i="27"/>
  <c r="K204" i="27"/>
  <c r="K15" i="27"/>
  <c r="K30" i="27"/>
  <c r="H21" i="27"/>
  <c r="K22" i="27"/>
  <c r="X22" i="27" s="1"/>
  <c r="K19" i="27"/>
  <c r="Z34" i="27" s="1"/>
  <c r="Y34" i="27" s="1"/>
  <c r="H52" i="27"/>
  <c r="K62" i="27"/>
  <c r="H67" i="27"/>
  <c r="K145" i="27"/>
  <c r="H152" i="27"/>
  <c r="Z311" i="27"/>
  <c r="Y311" i="27" s="1"/>
  <c r="K120" i="27"/>
  <c r="K112" i="27"/>
  <c r="H205" i="27"/>
  <c r="K220" i="27"/>
  <c r="K257" i="27"/>
  <c r="X323" i="27"/>
  <c r="Z345" i="27"/>
  <c r="Y345" i="27" s="1"/>
  <c r="H104" i="27"/>
  <c r="H111" i="27"/>
  <c r="K122" i="27"/>
  <c r="K146" i="27"/>
  <c r="H192" i="27"/>
  <c r="K205" i="27"/>
  <c r="H218" i="27"/>
  <c r="K219" i="27"/>
  <c r="H271" i="27"/>
  <c r="H272" i="27"/>
  <c r="Z319" i="27"/>
  <c r="Y319" i="27" s="1"/>
  <c r="Z340" i="27"/>
  <c r="Y340" i="27" s="1"/>
  <c r="Z323" i="27"/>
  <c r="Y323" i="27" s="1"/>
  <c r="Z84" i="27"/>
  <c r="Y84" i="27" s="1"/>
  <c r="K118" i="27"/>
  <c r="Z126" i="27" s="1"/>
  <c r="Y126" i="27" s="1"/>
  <c r="H145" i="27"/>
  <c r="H149" i="27"/>
  <c r="H160" i="27"/>
  <c r="H191" i="27"/>
  <c r="K192" i="27"/>
  <c r="H217" i="27"/>
  <c r="K271" i="27"/>
  <c r="K291" i="27"/>
  <c r="K106" i="27"/>
  <c r="K114" i="27"/>
  <c r="H144" i="27"/>
  <c r="H156" i="27"/>
  <c r="H166" i="27"/>
  <c r="K191" i="27"/>
  <c r="H206" i="27"/>
  <c r="K217" i="27"/>
  <c r="Z322" i="27"/>
  <c r="Y322" i="27" s="1"/>
  <c r="Z338" i="27"/>
  <c r="Y338" i="27" s="1"/>
  <c r="X343" i="27"/>
  <c r="AE156" i="27"/>
  <c r="AD114" i="27"/>
  <c r="AD156" i="27"/>
  <c r="AH114" i="27"/>
  <c r="AH156" i="27"/>
  <c r="AG114" i="27"/>
  <c r="AF156" i="27"/>
  <c r="AE114" i="27"/>
  <c r="AF114" i="27"/>
  <c r="H26" i="27"/>
  <c r="K23" i="27"/>
  <c r="H57" i="27"/>
  <c r="X40" i="27"/>
  <c r="X82" i="27"/>
  <c r="H31" i="27"/>
  <c r="K20" i="27"/>
  <c r="Z28" i="27"/>
  <c r="Y28" i="27" s="1"/>
  <c r="H53" i="27"/>
  <c r="Z85" i="27"/>
  <c r="Y85" i="27" s="1"/>
  <c r="X85" i="27"/>
  <c r="X84" i="27"/>
  <c r="AG156" i="27"/>
  <c r="K107" i="27"/>
  <c r="K111" i="27"/>
  <c r="H103" i="27"/>
  <c r="H108" i="27"/>
  <c r="H148" i="27"/>
  <c r="K103" i="27"/>
  <c r="H107" i="27"/>
  <c r="K155" i="27"/>
  <c r="Z325" i="27"/>
  <c r="Y325" i="27" s="1"/>
  <c r="Z324" i="27"/>
  <c r="Y324" i="27" s="1"/>
  <c r="X327" i="27"/>
  <c r="X341" i="27"/>
  <c r="Z327" i="27"/>
  <c r="Y327" i="27" s="1"/>
  <c r="K170" i="27"/>
  <c r="Z339" i="27"/>
  <c r="Y339" i="27" s="1"/>
  <c r="X340" i="27"/>
  <c r="Z343" i="27"/>
  <c r="Y343" i="27" s="1"/>
  <c r="Z326" i="27"/>
  <c r="Y326" i="27" s="1"/>
  <c r="Z342" i="27"/>
  <c r="Y342" i="27" s="1"/>
  <c r="X302" i="27"/>
  <c r="X311" i="27"/>
  <c r="Z320" i="27"/>
  <c r="Y320" i="27" s="1"/>
  <c r="X325" i="27"/>
  <c r="X336" i="27"/>
  <c r="X345" i="27"/>
  <c r="X320" i="27"/>
  <c r="X339" i="27"/>
  <c r="X322" i="27"/>
  <c r="X324" i="27"/>
  <c r="X342" i="27"/>
  <c r="T42" i="22"/>
  <c r="H42" i="22"/>
  <c r="W42" i="22"/>
  <c r="T41" i="22"/>
  <c r="W41" i="22"/>
  <c r="H41" i="22"/>
  <c r="P14" i="26"/>
  <c r="U23" i="26"/>
  <c r="J168" i="22"/>
  <c r="P25" i="26"/>
  <c r="P9" i="26"/>
  <c r="U25" i="26"/>
  <c r="I12" i="22"/>
  <c r="I91" i="22"/>
  <c r="J117" i="22"/>
  <c r="U21" i="26"/>
  <c r="P10" i="26"/>
  <c r="I79" i="22"/>
  <c r="J69" i="22"/>
  <c r="J14" i="22"/>
  <c r="I172" i="22"/>
  <c r="P13" i="26"/>
  <c r="P17" i="26"/>
  <c r="P19" i="26"/>
  <c r="P23" i="26"/>
  <c r="U26" i="26"/>
  <c r="J27" i="22"/>
  <c r="I62" i="22"/>
  <c r="J85" i="22"/>
  <c r="I135" i="22"/>
  <c r="I119" i="22"/>
  <c r="I189" i="22"/>
  <c r="P28" i="26"/>
  <c r="I10" i="22"/>
  <c r="J68" i="22"/>
  <c r="J137" i="22"/>
  <c r="J181" i="22"/>
  <c r="J165" i="22"/>
  <c r="P31" i="26"/>
  <c r="U17" i="26"/>
  <c r="I27" i="22"/>
  <c r="I88" i="22"/>
  <c r="J141" i="22"/>
  <c r="I168" i="22"/>
  <c r="J178" i="22"/>
  <c r="I39" i="22"/>
  <c r="P32" i="26"/>
  <c r="I87" i="22"/>
  <c r="I72" i="22"/>
  <c r="J78" i="22"/>
  <c r="J62" i="22"/>
  <c r="J125" i="22"/>
  <c r="J144" i="22"/>
  <c r="I181" i="22"/>
  <c r="I165" i="22"/>
  <c r="J39" i="22"/>
  <c r="P15" i="26"/>
  <c r="U9" i="26"/>
  <c r="J35" i="22"/>
  <c r="I86" i="22"/>
  <c r="J77" i="22"/>
  <c r="I126" i="22"/>
  <c r="I180" i="22"/>
  <c r="J221" i="22"/>
  <c r="I40" i="22"/>
  <c r="K40" i="22" s="1"/>
  <c r="P24" i="26"/>
  <c r="P16" i="26"/>
  <c r="I35" i="22"/>
  <c r="I20" i="22"/>
  <c r="J38" i="22"/>
  <c r="J93" i="22"/>
  <c r="J190" i="22"/>
  <c r="P20" i="26"/>
  <c r="U29" i="26"/>
  <c r="I34" i="22"/>
  <c r="J92" i="22"/>
  <c r="I190" i="22"/>
  <c r="J187" i="22"/>
  <c r="J170" i="22"/>
  <c r="I235" i="22"/>
  <c r="I167" i="22"/>
  <c r="U11" i="26"/>
  <c r="I118" i="22"/>
  <c r="I85" i="22"/>
  <c r="I33" i="22"/>
  <c r="P7" i="26"/>
  <c r="I233" i="22"/>
  <c r="U12" i="26"/>
  <c r="I171" i="22"/>
  <c r="I122" i="22"/>
  <c r="U7" i="26"/>
  <c r="I11" i="22"/>
  <c r="P11" i="26"/>
  <c r="I63" i="22"/>
  <c r="J122" i="22"/>
  <c r="J233" i="22"/>
  <c r="J171" i="22"/>
  <c r="J186" i="22"/>
  <c r="I15" i="22"/>
  <c r="J22" i="22"/>
  <c r="I67" i="22"/>
  <c r="J89" i="22"/>
  <c r="J73" i="22"/>
  <c r="I138" i="22"/>
  <c r="J234" i="22"/>
  <c r="P6" i="26"/>
  <c r="P22" i="26"/>
  <c r="U27" i="26"/>
  <c r="U19" i="26"/>
  <c r="I37" i="22"/>
  <c r="I29" i="22"/>
  <c r="I21" i="22"/>
  <c r="J58" i="22"/>
  <c r="I81" i="22"/>
  <c r="I73" i="22"/>
  <c r="J71" i="22"/>
  <c r="J63" i="22"/>
  <c r="I144" i="22"/>
  <c r="I136" i="22"/>
  <c r="J119" i="22"/>
  <c r="J135" i="22"/>
  <c r="J143" i="22"/>
  <c r="I191" i="22"/>
  <c r="I174" i="22"/>
  <c r="I166" i="22"/>
  <c r="J179" i="22"/>
  <c r="J220" i="22"/>
  <c r="K42" i="22"/>
  <c r="J86" i="22"/>
  <c r="I71" i="22"/>
  <c r="I142" i="22"/>
  <c r="U32" i="26"/>
  <c r="U24" i="26"/>
  <c r="U16" i="26"/>
  <c r="U8" i="26"/>
  <c r="I78" i="22"/>
  <c r="I164" i="22"/>
  <c r="I179" i="22"/>
  <c r="I234" i="22"/>
  <c r="P18" i="26"/>
  <c r="P26" i="26"/>
  <c r="U31" i="26"/>
  <c r="U15" i="26"/>
  <c r="I25" i="22"/>
  <c r="I17" i="22"/>
  <c r="J12" i="22"/>
  <c r="J20" i="22"/>
  <c r="J28" i="22"/>
  <c r="J36" i="22"/>
  <c r="I93" i="22"/>
  <c r="J67" i="22"/>
  <c r="J59" i="22"/>
  <c r="I116" i="22"/>
  <c r="J123" i="22"/>
  <c r="J131" i="22"/>
  <c r="J164" i="22"/>
  <c r="I187" i="22"/>
  <c r="I178" i="22"/>
  <c r="I170" i="22"/>
  <c r="J175" i="22"/>
  <c r="J167" i="22"/>
  <c r="I80" i="22"/>
  <c r="I143" i="22"/>
  <c r="P8" i="26"/>
  <c r="I26" i="22"/>
  <c r="P27" i="26"/>
  <c r="U22" i="26"/>
  <c r="U14" i="26"/>
  <c r="I6" i="22"/>
  <c r="I16" i="22"/>
  <c r="J29" i="22"/>
  <c r="I68" i="22"/>
  <c r="J132" i="22"/>
  <c r="J140" i="22"/>
  <c r="J191" i="22"/>
  <c r="J222" i="22"/>
  <c r="I28" i="22"/>
  <c r="P12" i="26"/>
  <c r="U13" i="26"/>
  <c r="I7" i="22"/>
  <c r="P21" i="26"/>
  <c r="I38" i="22"/>
  <c r="I22" i="22"/>
  <c r="I14" i="22"/>
  <c r="K41" i="22"/>
  <c r="W40" i="22"/>
  <c r="T40" i="22"/>
  <c r="H40" i="22"/>
  <c r="T39" i="22"/>
  <c r="H39" i="22"/>
  <c r="W39" i="22"/>
  <c r="M44" i="26"/>
  <c r="M43" i="26"/>
  <c r="R44" i="26"/>
  <c r="J377" i="22"/>
  <c r="J376" i="22"/>
  <c r="M50" i="26"/>
  <c r="R51" i="26"/>
  <c r="J374" i="22"/>
  <c r="M42" i="26"/>
  <c r="N61" i="26"/>
  <c r="M54" i="26"/>
  <c r="N52" i="26"/>
  <c r="O52" i="26" s="1"/>
  <c r="R50" i="26"/>
  <c r="R42" i="26"/>
  <c r="R53" i="26"/>
  <c r="R41" i="26"/>
  <c r="S52" i="26"/>
  <c r="T52" i="26" s="1"/>
  <c r="S58" i="26"/>
  <c r="T58" i="26" s="1"/>
  <c r="M58" i="26"/>
  <c r="S59" i="26"/>
  <c r="K65" i="26"/>
  <c r="R54" i="26"/>
  <c r="M41" i="26"/>
  <c r="M53" i="26"/>
  <c r="S60" i="26"/>
  <c r="Z354" i="22"/>
  <c r="Y354" i="22" s="1"/>
  <c r="E15" i="25"/>
  <c r="E60" i="25"/>
  <c r="E16" i="25"/>
  <c r="E128" i="25"/>
  <c r="E63" i="25"/>
  <c r="E94" i="25"/>
  <c r="E24" i="25"/>
  <c r="E87" i="25"/>
  <c r="E126" i="25"/>
  <c r="E118" i="25"/>
  <c r="E90" i="25"/>
  <c r="E129" i="25"/>
  <c r="E122" i="25"/>
  <c r="E123" i="25"/>
  <c r="E119" i="25"/>
  <c r="E127" i="25"/>
  <c r="E130" i="25"/>
  <c r="E97" i="25"/>
  <c r="E61" i="25"/>
  <c r="E86" i="25"/>
  <c r="E91" i="25"/>
  <c r="E96" i="25"/>
  <c r="E98" i="25"/>
  <c r="E95" i="25"/>
  <c r="Z102" i="25"/>
  <c r="Y102" i="25" s="1"/>
  <c r="X294" i="25"/>
  <c r="X291" i="25"/>
  <c r="Z292" i="25"/>
  <c r="Y292" i="25" s="1"/>
  <c r="X292" i="25"/>
  <c r="Z281" i="25"/>
  <c r="Y281" i="25" s="1"/>
  <c r="Z295" i="25"/>
  <c r="Y295" i="25" s="1"/>
  <c r="E20" i="25"/>
  <c r="Z294" i="25"/>
  <c r="Y294" i="25" s="1"/>
  <c r="X295" i="25"/>
  <c r="Z293" i="25"/>
  <c r="Y293" i="25" s="1"/>
  <c r="X293" i="25"/>
  <c r="E58" i="25"/>
  <c r="Z297" i="25"/>
  <c r="Y297" i="25" s="1"/>
  <c r="X298" i="25"/>
  <c r="E62" i="25"/>
  <c r="E25" i="25"/>
  <c r="E10" i="25"/>
  <c r="E18" i="25"/>
  <c r="E14" i="25"/>
  <c r="E13" i="25"/>
  <c r="E11" i="25"/>
  <c r="E23" i="25"/>
  <c r="E26" i="25"/>
  <c r="X31" i="25"/>
  <c r="X28" i="25"/>
  <c r="X30" i="25"/>
  <c r="X29" i="25"/>
  <c r="Z27" i="25"/>
  <c r="Y27" i="25" s="1"/>
  <c r="Z30" i="25"/>
  <c r="Y30" i="25" s="1"/>
  <c r="Z31" i="25"/>
  <c r="Y31" i="25" s="1"/>
  <c r="X68" i="25"/>
  <c r="Z65" i="25"/>
  <c r="Y65" i="25" s="1"/>
  <c r="X65" i="25"/>
  <c r="Z100" i="25"/>
  <c r="Y100" i="25" s="1"/>
  <c r="Z32" i="25"/>
  <c r="Y32" i="25" s="1"/>
  <c r="Z67" i="25"/>
  <c r="Y67" i="25" s="1"/>
  <c r="AG128" i="25"/>
  <c r="AF128" i="25"/>
  <c r="AH128" i="25"/>
  <c r="AE128" i="25"/>
  <c r="AH96" i="25"/>
  <c r="AD128" i="25"/>
  <c r="AG96" i="25"/>
  <c r="AE96" i="25"/>
  <c r="AD96" i="25"/>
  <c r="AF96" i="25"/>
  <c r="X69" i="25"/>
  <c r="Z69" i="25"/>
  <c r="Y69" i="25" s="1"/>
  <c r="X67" i="25"/>
  <c r="Z298" i="25"/>
  <c r="Y298" i="25" s="1"/>
  <c r="X103" i="25"/>
  <c r="Z291" i="25"/>
  <c r="Y291" i="25" s="1"/>
  <c r="Z296" i="25"/>
  <c r="Y296" i="25" s="1"/>
  <c r="X297" i="25"/>
  <c r="Z290" i="25"/>
  <c r="Y290" i="25" s="1"/>
  <c r="X281" i="25"/>
  <c r="X290" i="25"/>
  <c r="X296" i="25"/>
  <c r="V236" i="22"/>
  <c r="U236" i="22"/>
  <c r="S236" i="22"/>
  <c r="R236" i="22"/>
  <c r="P236" i="22"/>
  <c r="O236" i="22"/>
  <c r="V235" i="22"/>
  <c r="U235" i="22"/>
  <c r="S235" i="22"/>
  <c r="R235" i="22"/>
  <c r="P235" i="22"/>
  <c r="O235" i="22"/>
  <c r="V234" i="22"/>
  <c r="U234" i="22"/>
  <c r="S234" i="22"/>
  <c r="R234" i="22"/>
  <c r="P234" i="22"/>
  <c r="O234" i="22"/>
  <c r="V223" i="22"/>
  <c r="U223" i="22"/>
  <c r="S223" i="22"/>
  <c r="R223" i="22"/>
  <c r="P223" i="22"/>
  <c r="O223" i="22"/>
  <c r="V222" i="22"/>
  <c r="U222" i="22"/>
  <c r="S222" i="22"/>
  <c r="R222" i="22"/>
  <c r="V221" i="22"/>
  <c r="U221" i="22"/>
  <c r="S221" i="22"/>
  <c r="R221" i="22"/>
  <c r="P221" i="22"/>
  <c r="O221" i="22"/>
  <c r="D84" i="22"/>
  <c r="D83" i="22"/>
  <c r="D81" i="22"/>
  <c r="D80" i="22"/>
  <c r="D79" i="22"/>
  <c r="D76" i="22"/>
  <c r="D75" i="22"/>
  <c r="D74" i="22"/>
  <c r="D73" i="22"/>
  <c r="D71" i="22"/>
  <c r="D70" i="22"/>
  <c r="D69" i="22"/>
  <c r="D68" i="22"/>
  <c r="D67" i="22"/>
  <c r="D66" i="22"/>
  <c r="D65" i="22"/>
  <c r="D64" i="22"/>
  <c r="D63" i="22"/>
  <c r="D62" i="22"/>
  <c r="D60" i="22"/>
  <c r="D59" i="22"/>
  <c r="D58" i="22"/>
  <c r="D32" i="22"/>
  <c r="D18" i="22"/>
  <c r="D19" i="22"/>
  <c r="D12" i="22"/>
  <c r="D6" i="22"/>
  <c r="Q53" i="13"/>
  <c r="S53" i="13" s="1"/>
  <c r="T53" i="13" s="1"/>
  <c r="Q54" i="13"/>
  <c r="S54" i="13" s="1"/>
  <c r="T54" i="13" s="1"/>
  <c r="L53" i="13"/>
  <c r="N53" i="13" s="1"/>
  <c r="O53" i="13" s="1"/>
  <c r="L54" i="13"/>
  <c r="N54" i="13" s="1"/>
  <c r="O54" i="13" s="1"/>
  <c r="L55" i="13"/>
  <c r="N55" i="13" s="1"/>
  <c r="O55" i="13" s="1"/>
  <c r="G281" i="22" s="1"/>
  <c r="Q55" i="13"/>
  <c r="S55" i="13" s="1"/>
  <c r="T55" i="13"/>
  <c r="G295" i="22" s="1"/>
  <c r="L31" i="13"/>
  <c r="M31" i="13"/>
  <c r="P31" i="13" s="1"/>
  <c r="N31" i="13"/>
  <c r="O31" i="13" s="1"/>
  <c r="G221" i="22" s="1"/>
  <c r="Q31" i="13"/>
  <c r="R31" i="13"/>
  <c r="U31" i="13" s="1"/>
  <c r="S31" i="13"/>
  <c r="T31" i="13"/>
  <c r="G234" i="22" s="1"/>
  <c r="L32" i="13"/>
  <c r="M32" i="13"/>
  <c r="P32" i="13" s="1"/>
  <c r="N32" i="13"/>
  <c r="O32" i="13" s="1"/>
  <c r="Q32" i="13"/>
  <c r="R32" i="13"/>
  <c r="U32" i="13" s="1"/>
  <c r="S32" i="13"/>
  <c r="T32" i="13" s="1"/>
  <c r="L33" i="13"/>
  <c r="M33" i="13" s="1"/>
  <c r="P33" i="13" s="1"/>
  <c r="N33" i="13"/>
  <c r="O33" i="13" s="1"/>
  <c r="G222" i="22" s="1"/>
  <c r="Q33" i="13"/>
  <c r="R33" i="13" s="1"/>
  <c r="U33" i="13" s="1"/>
  <c r="S33" i="13"/>
  <c r="T33" i="13"/>
  <c r="G235" i="22" s="1"/>
  <c r="L34" i="13"/>
  <c r="M34" i="13"/>
  <c r="P34" i="13" s="1"/>
  <c r="N34" i="13"/>
  <c r="O34" i="13" s="1"/>
  <c r="Q34" i="13"/>
  <c r="R34" i="13"/>
  <c r="U34" i="13" s="1"/>
  <c r="S34" i="13"/>
  <c r="T34" i="13" s="1"/>
  <c r="L35" i="13"/>
  <c r="M35" i="13" s="1"/>
  <c r="P35" i="13" s="1"/>
  <c r="N35" i="13"/>
  <c r="O35" i="13" s="1"/>
  <c r="G223" i="22" s="1"/>
  <c r="Q35" i="13"/>
  <c r="R35" i="13"/>
  <c r="U35" i="13" s="1"/>
  <c r="S35" i="13"/>
  <c r="T35" i="13" s="1"/>
  <c r="G236" i="22" s="1"/>
  <c r="L36" i="13"/>
  <c r="M36" i="13" s="1"/>
  <c r="P36" i="13" s="1"/>
  <c r="N36" i="13"/>
  <c r="O36" i="13" s="1"/>
  <c r="Q36" i="13"/>
  <c r="R36" i="13" s="1"/>
  <c r="U36" i="13" s="1"/>
  <c r="S36" i="13"/>
  <c r="T36" i="13" s="1"/>
  <c r="G394" i="22"/>
  <c r="X99" i="22" l="1"/>
  <c r="X202" i="22"/>
  <c r="X201" i="22"/>
  <c r="Z188" i="30"/>
  <c r="Y188" i="30" s="1"/>
  <c r="Z122" i="30"/>
  <c r="Y122" i="30" s="1"/>
  <c r="Z31" i="30"/>
  <c r="Y31" i="30" s="1"/>
  <c r="Z79" i="30"/>
  <c r="Y79" i="30" s="1"/>
  <c r="Z24" i="30"/>
  <c r="Y24" i="30" s="1"/>
  <c r="Z83" i="30"/>
  <c r="Y83" i="30" s="1"/>
  <c r="Z35" i="30"/>
  <c r="Y35" i="30" s="1"/>
  <c r="Z9" i="30"/>
  <c r="Y9" i="30" s="1"/>
  <c r="Z60" i="30"/>
  <c r="Y60" i="30" s="1"/>
  <c r="Z80" i="30"/>
  <c r="Y80" i="30" s="1"/>
  <c r="Z70" i="30"/>
  <c r="Y70" i="30" s="1"/>
  <c r="X132" i="30"/>
  <c r="X39" i="30"/>
  <c r="Z75" i="30"/>
  <c r="Y75" i="30" s="1"/>
  <c r="Z25" i="30"/>
  <c r="Y25" i="30" s="1"/>
  <c r="Z176" i="30"/>
  <c r="Y176" i="30" s="1"/>
  <c r="X34" i="30"/>
  <c r="X32" i="30"/>
  <c r="Z91" i="30"/>
  <c r="Y91" i="30" s="1"/>
  <c r="Z21" i="30"/>
  <c r="Y21" i="30" s="1"/>
  <c r="Z10" i="30"/>
  <c r="Y10" i="30" s="1"/>
  <c r="X120" i="30"/>
  <c r="Z8" i="30"/>
  <c r="Y8" i="30" s="1"/>
  <c r="Z34" i="30"/>
  <c r="Y34" i="30" s="1"/>
  <c r="X61" i="30"/>
  <c r="X262" i="30"/>
  <c r="Z82" i="30"/>
  <c r="Y82" i="30" s="1"/>
  <c r="Z37" i="30"/>
  <c r="Y37" i="30" s="1"/>
  <c r="Z19" i="30"/>
  <c r="Y19" i="30" s="1"/>
  <c r="Z38" i="30"/>
  <c r="Y38" i="30" s="1"/>
  <c r="Z286" i="30"/>
  <c r="Y286" i="30" s="1"/>
  <c r="Z126" i="30"/>
  <c r="Y126" i="30" s="1"/>
  <c r="Z72" i="30"/>
  <c r="Y72" i="30" s="1"/>
  <c r="X71" i="30"/>
  <c r="X10" i="30"/>
  <c r="Z20" i="30"/>
  <c r="Y20" i="30" s="1"/>
  <c r="Z71" i="30"/>
  <c r="Y71" i="30" s="1"/>
  <c r="Z16" i="30"/>
  <c r="Y16" i="30" s="1"/>
  <c r="X66" i="30"/>
  <c r="Z30" i="30"/>
  <c r="Y30" i="30" s="1"/>
  <c r="Z15" i="30"/>
  <c r="Y15" i="30" s="1"/>
  <c r="Z301" i="30"/>
  <c r="Y301" i="30" s="1"/>
  <c r="Z22" i="30"/>
  <c r="Y22" i="30" s="1"/>
  <c r="Z290" i="30"/>
  <c r="Y290" i="30" s="1"/>
  <c r="Z14" i="30"/>
  <c r="Y14" i="30" s="1"/>
  <c r="X222" i="30"/>
  <c r="X162" i="30"/>
  <c r="X6" i="30"/>
  <c r="X70" i="30"/>
  <c r="X176" i="30"/>
  <c r="X16" i="30"/>
  <c r="X223" i="30"/>
  <c r="Z39" i="30"/>
  <c r="Y39" i="30" s="1"/>
  <c r="X88" i="30"/>
  <c r="Z23" i="30"/>
  <c r="Y23" i="30" s="1"/>
  <c r="X13" i="30"/>
  <c r="X124" i="30"/>
  <c r="X196" i="30"/>
  <c r="X28" i="30"/>
  <c r="X274" i="30"/>
  <c r="Z174" i="30"/>
  <c r="Y174" i="30" s="1"/>
  <c r="X277" i="30"/>
  <c r="Z29" i="30"/>
  <c r="Y29" i="30" s="1"/>
  <c r="X37" i="30"/>
  <c r="X25" i="30"/>
  <c r="Z259" i="30"/>
  <c r="Y259" i="30" s="1"/>
  <c r="X14" i="30"/>
  <c r="X188" i="30"/>
  <c r="Z93" i="30"/>
  <c r="Y93" i="30" s="1"/>
  <c r="Z64" i="30"/>
  <c r="Y64" i="30" s="1"/>
  <c r="X191" i="30"/>
  <c r="X80" i="30"/>
  <c r="Z58" i="30"/>
  <c r="Y58" i="30" s="1"/>
  <c r="Z116" i="30"/>
  <c r="Y116" i="30" s="1"/>
  <c r="X27" i="30"/>
  <c r="Z274" i="30"/>
  <c r="Y274" i="30" s="1"/>
  <c r="X19" i="30"/>
  <c r="Z28" i="30"/>
  <c r="Y28" i="30" s="1"/>
  <c r="Z142" i="30"/>
  <c r="Y142" i="30" s="1"/>
  <c r="Z128" i="30"/>
  <c r="Y128" i="30" s="1"/>
  <c r="X235" i="30"/>
  <c r="X167" i="30"/>
  <c r="X163" i="30"/>
  <c r="Z123" i="30"/>
  <c r="Y123" i="30" s="1"/>
  <c r="Z311" i="30"/>
  <c r="Y311" i="30" s="1"/>
  <c r="Z12" i="30"/>
  <c r="Y12" i="30" s="1"/>
  <c r="Z185" i="30"/>
  <c r="Y185" i="30" s="1"/>
  <c r="X195" i="30"/>
  <c r="X135" i="30"/>
  <c r="Z130" i="30"/>
  <c r="Y130" i="30" s="1"/>
  <c r="Z289" i="30"/>
  <c r="Y289" i="30" s="1"/>
  <c r="Z78" i="30"/>
  <c r="Y78" i="30" s="1"/>
  <c r="Z191" i="30"/>
  <c r="Y191" i="30" s="1"/>
  <c r="X249" i="30"/>
  <c r="Z6" i="30"/>
  <c r="Y6" i="30" s="1"/>
  <c r="X140" i="30"/>
  <c r="X232" i="30"/>
  <c r="Z291" i="30"/>
  <c r="Y291" i="30" s="1"/>
  <c r="X236" i="30"/>
  <c r="X165" i="30"/>
  <c r="X220" i="30"/>
  <c r="X287" i="30"/>
  <c r="Z67" i="30"/>
  <c r="Y67" i="30" s="1"/>
  <c r="X82" i="30"/>
  <c r="Z302" i="30"/>
  <c r="Y302" i="30" s="1"/>
  <c r="X126" i="30"/>
  <c r="X36" i="30"/>
  <c r="Z162" i="30"/>
  <c r="Y162" i="30" s="1"/>
  <c r="X190" i="30"/>
  <c r="Z125" i="30"/>
  <c r="Y125" i="30" s="1"/>
  <c r="X175" i="30"/>
  <c r="X139" i="30"/>
  <c r="X199" i="30"/>
  <c r="Z88" i="30"/>
  <c r="Y88" i="30" s="1"/>
  <c r="Z180" i="30"/>
  <c r="Y180" i="30" s="1"/>
  <c r="Z292" i="30"/>
  <c r="Y292" i="30" s="1"/>
  <c r="Z69" i="30"/>
  <c r="Y69" i="30" s="1"/>
  <c r="X290" i="30"/>
  <c r="X128" i="30"/>
  <c r="X286" i="30"/>
  <c r="Z118" i="30"/>
  <c r="Y118" i="30" s="1"/>
  <c r="Z119" i="30"/>
  <c r="Y119" i="30" s="1"/>
  <c r="X11" i="30"/>
  <c r="X75" i="30"/>
  <c r="Z182" i="30"/>
  <c r="Y182" i="30" s="1"/>
  <c r="X292" i="30"/>
  <c r="X260" i="30"/>
  <c r="X130" i="30"/>
  <c r="X221" i="30"/>
  <c r="Z17" i="30"/>
  <c r="Y17" i="30" s="1"/>
  <c r="Z114" i="30"/>
  <c r="Y114" i="30" s="1"/>
  <c r="Z62" i="30"/>
  <c r="Y62" i="30" s="1"/>
  <c r="X93" i="30"/>
  <c r="X150" i="30"/>
  <c r="Z66" i="30"/>
  <c r="Y66" i="30" s="1"/>
  <c r="Z86" i="30"/>
  <c r="Y86" i="30" s="1"/>
  <c r="X8" i="30"/>
  <c r="X172" i="30"/>
  <c r="X146" i="30"/>
  <c r="X261" i="30"/>
  <c r="X193" i="30"/>
  <c r="Z273" i="30"/>
  <c r="Y273" i="30" s="1"/>
  <c r="Z249" i="30"/>
  <c r="Y249" i="30" s="1"/>
  <c r="Z63" i="30"/>
  <c r="Y63" i="30" s="1"/>
  <c r="Z7" i="30"/>
  <c r="Y7" i="30" s="1"/>
  <c r="Z143" i="30"/>
  <c r="Y143" i="30" s="1"/>
  <c r="Z288" i="30"/>
  <c r="Y288" i="30" s="1"/>
  <c r="Z139" i="30"/>
  <c r="Y139" i="30" s="1"/>
  <c r="Z74" i="30"/>
  <c r="Y74" i="30" s="1"/>
  <c r="Z115" i="30"/>
  <c r="Y115" i="30" s="1"/>
  <c r="X91" i="30"/>
  <c r="Z33" i="30"/>
  <c r="Y33" i="30" s="1"/>
  <c r="Z27" i="30"/>
  <c r="Y27" i="30" s="1"/>
  <c r="X185" i="30"/>
  <c r="X197" i="30"/>
  <c r="X98" i="30"/>
  <c r="X164" i="30"/>
  <c r="Z189" i="30"/>
  <c r="Y189" i="30" s="1"/>
  <c r="X147" i="30"/>
  <c r="Z141" i="30"/>
  <c r="Y141" i="30" s="1"/>
  <c r="X288" i="30"/>
  <c r="Z61" i="30"/>
  <c r="Y61" i="30" s="1"/>
  <c r="Z322" i="30"/>
  <c r="Y322" i="30" s="1"/>
  <c r="X127" i="30"/>
  <c r="X121" i="30"/>
  <c r="X178" i="30"/>
  <c r="X85" i="30"/>
  <c r="Z26" i="30"/>
  <c r="Y26" i="30" s="1"/>
  <c r="X24" i="30"/>
  <c r="X67" i="30"/>
  <c r="X7" i="30"/>
  <c r="Z186" i="30"/>
  <c r="Y186" i="30" s="1"/>
  <c r="X169" i="30"/>
  <c r="Z312" i="30"/>
  <c r="Y312" i="30" s="1"/>
  <c r="Z175" i="30"/>
  <c r="Y175" i="30" s="1"/>
  <c r="Z287" i="30"/>
  <c r="Y287" i="30" s="1"/>
  <c r="Z247" i="30"/>
  <c r="Y247" i="30" s="1"/>
  <c r="Z192" i="30"/>
  <c r="Y192" i="30" s="1"/>
  <c r="Z137" i="30"/>
  <c r="Y137" i="30" s="1"/>
  <c r="Z262" i="30"/>
  <c r="Y262" i="30" s="1"/>
  <c r="Z169" i="30"/>
  <c r="Y169" i="30" s="1"/>
  <c r="Z89" i="30"/>
  <c r="Y89" i="30" s="1"/>
  <c r="X62" i="30"/>
  <c r="Z181" i="30"/>
  <c r="Y181" i="30" s="1"/>
  <c r="Z168" i="30"/>
  <c r="Y168" i="30" s="1"/>
  <c r="X122" i="30"/>
  <c r="X133" i="30"/>
  <c r="Z178" i="30"/>
  <c r="Y178" i="30" s="1"/>
  <c r="Z59" i="30"/>
  <c r="Y59" i="30" s="1"/>
  <c r="Z163" i="30"/>
  <c r="Y163" i="30" s="1"/>
  <c r="X60" i="30"/>
  <c r="Z250" i="30"/>
  <c r="Y250" i="30" s="1"/>
  <c r="Z164" i="30"/>
  <c r="Y164" i="30" s="1"/>
  <c r="X116" i="30"/>
  <c r="Z18" i="30"/>
  <c r="Y18" i="30" s="1"/>
  <c r="X186" i="30"/>
  <c r="X177" i="30"/>
  <c r="X291" i="30"/>
  <c r="Z84" i="30"/>
  <c r="Y84" i="30" s="1"/>
  <c r="Z92" i="30"/>
  <c r="Y92" i="30" s="1"/>
  <c r="X58" i="30"/>
  <c r="X68" i="30"/>
  <c r="X84" i="30"/>
  <c r="Z272" i="30"/>
  <c r="Y272" i="30" s="1"/>
  <c r="Z263" i="30"/>
  <c r="Y263" i="30" s="1"/>
  <c r="X149" i="30"/>
  <c r="Z275" i="30"/>
  <c r="Y275" i="30" s="1"/>
  <c r="Z260" i="30"/>
  <c r="Y260" i="30" s="1"/>
  <c r="Z166" i="30"/>
  <c r="Y166" i="30" s="1"/>
  <c r="X200" i="30"/>
  <c r="X125" i="30"/>
  <c r="Z135" i="30"/>
  <c r="Y135" i="30" s="1"/>
  <c r="X148" i="30"/>
  <c r="X273" i="30"/>
  <c r="Z127" i="30"/>
  <c r="Y127" i="30" s="1"/>
  <c r="X78" i="30"/>
  <c r="Z94" i="30"/>
  <c r="Y94" i="30" s="1"/>
  <c r="Z321" i="30"/>
  <c r="Y321" i="30" s="1"/>
  <c r="Z190" i="30"/>
  <c r="Y190" i="30" s="1"/>
  <c r="X173" i="30"/>
  <c r="X233" i="30"/>
  <c r="X198" i="30"/>
  <c r="X263" i="30"/>
  <c r="Z187" i="30"/>
  <c r="Y187" i="30" s="1"/>
  <c r="X141" i="30"/>
  <c r="X65" i="30"/>
  <c r="X15" i="30"/>
  <c r="Z277" i="30"/>
  <c r="Y277" i="30" s="1"/>
  <c r="Z261" i="30"/>
  <c r="Y261" i="30" s="1"/>
  <c r="Z117" i="30"/>
  <c r="Y117" i="30" s="1"/>
  <c r="X137" i="30"/>
  <c r="X95" i="30"/>
  <c r="X73" i="30"/>
  <c r="Z87" i="30"/>
  <c r="Y87" i="30" s="1"/>
  <c r="X114" i="30"/>
  <c r="X40" i="30"/>
  <c r="X33" i="30"/>
  <c r="X59" i="30"/>
  <c r="Z170" i="30"/>
  <c r="Y170" i="30" s="1"/>
  <c r="X23" i="30"/>
  <c r="X250" i="30"/>
  <c r="X168" i="30"/>
  <c r="Z36" i="30"/>
  <c r="Y36" i="30" s="1"/>
  <c r="Z131" i="30"/>
  <c r="Y131" i="30" s="1"/>
  <c r="Z68" i="30"/>
  <c r="Y68" i="30" s="1"/>
  <c r="X184" i="30"/>
  <c r="X247" i="30"/>
  <c r="X192" i="30"/>
  <c r="X134" i="30"/>
  <c r="Z81" i="30"/>
  <c r="Y81" i="30" s="1"/>
  <c r="X170" i="30"/>
  <c r="Z165" i="30"/>
  <c r="Y165" i="30" s="1"/>
  <c r="X272" i="30"/>
  <c r="Z173" i="30"/>
  <c r="Y173" i="30" s="1"/>
  <c r="Z124" i="30"/>
  <c r="Y124" i="30" s="1"/>
  <c r="Z183" i="30"/>
  <c r="Y183" i="30" s="1"/>
  <c r="X69" i="30"/>
  <c r="Z171" i="30"/>
  <c r="Y171" i="30" s="1"/>
  <c r="X166" i="30"/>
  <c r="Z134" i="30"/>
  <c r="Y134" i="30" s="1"/>
  <c r="Z140" i="30"/>
  <c r="Y140" i="30" s="1"/>
  <c r="X276" i="30"/>
  <c r="X38" i="30"/>
  <c r="X234" i="30"/>
  <c r="X219" i="30"/>
  <c r="X131" i="30"/>
  <c r="Z77" i="30"/>
  <c r="Y77" i="30" s="1"/>
  <c r="X64" i="30"/>
  <c r="X259" i="30"/>
  <c r="X145" i="30"/>
  <c r="Z120" i="30"/>
  <c r="Y120" i="30" s="1"/>
  <c r="Z276" i="30"/>
  <c r="Y276" i="30" s="1"/>
  <c r="X275" i="30"/>
  <c r="Z172" i="30"/>
  <c r="Y172" i="30" s="1"/>
  <c r="X183" i="30"/>
  <c r="X136" i="30"/>
  <c r="Z138" i="30"/>
  <c r="Y138" i="30" s="1"/>
  <c r="X118" i="30"/>
  <c r="Z121" i="30"/>
  <c r="Y121" i="30" s="1"/>
  <c r="X143" i="30"/>
  <c r="X96" i="30"/>
  <c r="X77" i="30"/>
  <c r="Z90" i="30"/>
  <c r="Y90" i="30" s="1"/>
  <c r="Z85" i="30"/>
  <c r="Y85" i="30" s="1"/>
  <c r="AI126" i="30"/>
  <c r="Z65" i="30"/>
  <c r="Y65" i="30" s="1"/>
  <c r="Z95" i="30"/>
  <c r="Y95" i="30" s="1"/>
  <c r="X72" i="30"/>
  <c r="X182" i="30"/>
  <c r="X76" i="30"/>
  <c r="X86" i="30"/>
  <c r="X129" i="30"/>
  <c r="Z136" i="30"/>
  <c r="Y136" i="30" s="1"/>
  <c r="X119" i="30"/>
  <c r="X142" i="30"/>
  <c r="X21" i="30"/>
  <c r="Z11" i="30"/>
  <c r="Y11" i="30" s="1"/>
  <c r="X180" i="30"/>
  <c r="X115" i="30"/>
  <c r="X90" i="30"/>
  <c r="Z167" i="30"/>
  <c r="Y167" i="30" s="1"/>
  <c r="X171" i="30"/>
  <c r="X187" i="30"/>
  <c r="Z248" i="30"/>
  <c r="Y248" i="30" s="1"/>
  <c r="X248" i="30"/>
  <c r="X144" i="30"/>
  <c r="Z133" i="30"/>
  <c r="Y133" i="30" s="1"/>
  <c r="Z179" i="30"/>
  <c r="Y179" i="30" s="1"/>
  <c r="X174" i="30"/>
  <c r="X89" i="30"/>
  <c r="Z73" i="30"/>
  <c r="Y73" i="30" s="1"/>
  <c r="X289" i="30"/>
  <c r="X194" i="30"/>
  <c r="X138" i="30"/>
  <c r="Z132" i="30"/>
  <c r="Y132" i="30" s="1"/>
  <c r="X179" i="30"/>
  <c r="Z184" i="30"/>
  <c r="Y184" i="30" s="1"/>
  <c r="X92" i="30"/>
  <c r="Z76" i="30"/>
  <c r="Y76" i="30" s="1"/>
  <c r="X79" i="30"/>
  <c r="X181" i="30"/>
  <c r="Z177" i="30"/>
  <c r="Y177" i="30" s="1"/>
  <c r="Z129" i="30"/>
  <c r="Y129" i="30" s="1"/>
  <c r="X189" i="30"/>
  <c r="X94" i="30"/>
  <c r="X81" i="30"/>
  <c r="X9" i="30"/>
  <c r="X117" i="30"/>
  <c r="AI174" i="30"/>
  <c r="X296" i="22"/>
  <c r="X200" i="22"/>
  <c r="X151" i="22"/>
  <c r="X98" i="22"/>
  <c r="X46" i="22"/>
  <c r="X150" i="22"/>
  <c r="X199" i="22"/>
  <c r="X149" i="22"/>
  <c r="X198" i="22"/>
  <c r="X97" i="22"/>
  <c r="X197" i="22"/>
  <c r="X148" i="22"/>
  <c r="X45" i="22"/>
  <c r="X147" i="22"/>
  <c r="X96" i="22"/>
  <c r="X237" i="22"/>
  <c r="X224" i="22"/>
  <c r="X44" i="22"/>
  <c r="X196" i="22"/>
  <c r="X195" i="22"/>
  <c r="X43" i="22"/>
  <c r="X145" i="22"/>
  <c r="X146" i="22"/>
  <c r="X42" i="22"/>
  <c r="P58" i="28"/>
  <c r="U58" i="28"/>
  <c r="X152" i="27"/>
  <c r="Z18" i="27"/>
  <c r="Y18" i="27" s="1"/>
  <c r="Z30" i="27"/>
  <c r="Y30" i="27" s="1"/>
  <c r="Z163" i="27"/>
  <c r="Y163" i="27" s="1"/>
  <c r="Z74" i="27"/>
  <c r="Y74" i="27" s="1"/>
  <c r="Z33" i="27"/>
  <c r="Y33" i="27" s="1"/>
  <c r="Z31" i="27"/>
  <c r="Y31" i="27" s="1"/>
  <c r="Z64" i="27"/>
  <c r="Y64" i="27" s="1"/>
  <c r="Z123" i="27"/>
  <c r="Y123" i="27" s="1"/>
  <c r="Z167" i="27"/>
  <c r="Y167" i="27" s="1"/>
  <c r="Z165" i="27"/>
  <c r="Y165" i="27" s="1"/>
  <c r="Z153" i="27"/>
  <c r="Y153" i="27" s="1"/>
  <c r="Z117" i="27"/>
  <c r="Y117" i="27" s="1"/>
  <c r="Z114" i="27"/>
  <c r="Y114" i="27" s="1"/>
  <c r="Z79" i="27"/>
  <c r="Y79" i="27" s="1"/>
  <c r="Z69" i="27"/>
  <c r="Y69" i="27" s="1"/>
  <c r="Z59" i="27"/>
  <c r="Y59" i="27" s="1"/>
  <c r="Z80" i="27"/>
  <c r="Y80" i="27" s="1"/>
  <c r="Z24" i="27"/>
  <c r="Y24" i="27" s="1"/>
  <c r="X21" i="27"/>
  <c r="Z8" i="27"/>
  <c r="Y8" i="27" s="1"/>
  <c r="Z13" i="27"/>
  <c r="Y13" i="27" s="1"/>
  <c r="X77" i="27"/>
  <c r="X17" i="27"/>
  <c r="Z56" i="27"/>
  <c r="Y56" i="27" s="1"/>
  <c r="X8" i="27"/>
  <c r="Z19" i="27"/>
  <c r="Y19" i="27" s="1"/>
  <c r="Z6" i="27"/>
  <c r="Y6" i="27" s="1"/>
  <c r="X124" i="27"/>
  <c r="X18" i="27"/>
  <c r="Z16" i="27"/>
  <c r="Y16" i="27" s="1"/>
  <c r="Z52" i="27"/>
  <c r="Y52" i="27" s="1"/>
  <c r="Z66" i="27"/>
  <c r="Y66" i="27" s="1"/>
  <c r="Z58" i="27"/>
  <c r="Y58" i="27" s="1"/>
  <c r="Z12" i="27"/>
  <c r="Y12" i="27" s="1"/>
  <c r="X76" i="27"/>
  <c r="X7" i="27"/>
  <c r="Z27" i="27"/>
  <c r="Y27" i="27" s="1"/>
  <c r="Z25" i="27"/>
  <c r="Y25" i="27" s="1"/>
  <c r="Z7" i="27"/>
  <c r="Y7" i="27" s="1"/>
  <c r="Z70" i="27"/>
  <c r="Y70" i="27" s="1"/>
  <c r="Z158" i="27"/>
  <c r="Y158" i="27" s="1"/>
  <c r="X30" i="27"/>
  <c r="X67" i="27"/>
  <c r="Z113" i="27"/>
  <c r="Y113" i="27" s="1"/>
  <c r="X10" i="27"/>
  <c r="X73" i="27"/>
  <c r="X60" i="27"/>
  <c r="Z9" i="27"/>
  <c r="Y9" i="27" s="1"/>
  <c r="Z110" i="27"/>
  <c r="Y110" i="27" s="1"/>
  <c r="X157" i="27"/>
  <c r="X115" i="27"/>
  <c r="X229" i="27"/>
  <c r="X16" i="27"/>
  <c r="Z62" i="27"/>
  <c r="Y62" i="27" s="1"/>
  <c r="X29" i="27"/>
  <c r="Z109" i="27"/>
  <c r="Y109" i="27" s="1"/>
  <c r="Z258" i="27"/>
  <c r="Y258" i="27" s="1"/>
  <c r="Z65" i="27"/>
  <c r="Y65" i="27" s="1"/>
  <c r="Z14" i="27"/>
  <c r="Y14" i="27" s="1"/>
  <c r="X69" i="27"/>
  <c r="Z63" i="27"/>
  <c r="Y63" i="27" s="1"/>
  <c r="X145" i="27"/>
  <c r="Z144" i="27"/>
  <c r="Y144" i="27" s="1"/>
  <c r="Z160" i="27"/>
  <c r="Y160" i="27" s="1"/>
  <c r="X258" i="27"/>
  <c r="X62" i="27"/>
  <c r="X159" i="27"/>
  <c r="Z243" i="27"/>
  <c r="Y243" i="27" s="1"/>
  <c r="X59" i="27"/>
  <c r="Z37" i="27"/>
  <c r="Y37" i="27" s="1"/>
  <c r="X219" i="27"/>
  <c r="Z10" i="27"/>
  <c r="Y10" i="27" s="1"/>
  <c r="X55" i="27"/>
  <c r="X166" i="27"/>
  <c r="Z26" i="27"/>
  <c r="Y26" i="27" s="1"/>
  <c r="Z118" i="27"/>
  <c r="Y118" i="27" s="1"/>
  <c r="X117" i="27"/>
  <c r="Z23" i="27"/>
  <c r="Y23" i="27" s="1"/>
  <c r="X271" i="27"/>
  <c r="X191" i="27"/>
  <c r="Z261" i="27"/>
  <c r="Y261" i="27" s="1"/>
  <c r="X247" i="27"/>
  <c r="X11" i="27"/>
  <c r="X6" i="27"/>
  <c r="X15" i="27"/>
  <c r="Z11" i="27"/>
  <c r="Y11" i="27" s="1"/>
  <c r="X192" i="27"/>
  <c r="Z164" i="27"/>
  <c r="Y164" i="27" s="1"/>
  <c r="X203" i="27"/>
  <c r="X262" i="27"/>
  <c r="Z246" i="27"/>
  <c r="Y246" i="27" s="1"/>
  <c r="X218" i="27"/>
  <c r="Z15" i="27"/>
  <c r="Y15" i="27" s="1"/>
  <c r="X109" i="27"/>
  <c r="Z22" i="27"/>
  <c r="Y22" i="27" s="1"/>
  <c r="X24" i="27"/>
  <c r="X193" i="27"/>
  <c r="Z128" i="27"/>
  <c r="Y128" i="27" s="1"/>
  <c r="Z232" i="27"/>
  <c r="Y232" i="27" s="1"/>
  <c r="X70" i="27"/>
  <c r="X154" i="27"/>
  <c r="X243" i="27"/>
  <c r="X168" i="27"/>
  <c r="Z157" i="27"/>
  <c r="Y157" i="27" s="1"/>
  <c r="Z130" i="27"/>
  <c r="Y130" i="27" s="1"/>
  <c r="Z120" i="27"/>
  <c r="Y120" i="27" s="1"/>
  <c r="Z112" i="27"/>
  <c r="Y112" i="27" s="1"/>
  <c r="Z218" i="27"/>
  <c r="Y218" i="27" s="1"/>
  <c r="Z122" i="27"/>
  <c r="Y122" i="27" s="1"/>
  <c r="Z231" i="27"/>
  <c r="Y231" i="27" s="1"/>
  <c r="Z245" i="27"/>
  <c r="Y245" i="27" s="1"/>
  <c r="X194" i="27"/>
  <c r="X172" i="27"/>
  <c r="X155" i="27"/>
  <c r="X147" i="27"/>
  <c r="Z292" i="27"/>
  <c r="Y292" i="27" s="1"/>
  <c r="X259" i="27"/>
  <c r="Z127" i="27"/>
  <c r="Y127" i="27" s="1"/>
  <c r="X205" i="27"/>
  <c r="X257" i="27"/>
  <c r="X204" i="27"/>
  <c r="Z219" i="27"/>
  <c r="Y219" i="27" s="1"/>
  <c r="Z129" i="27"/>
  <c r="Y129" i="27" s="1"/>
  <c r="Z119" i="27"/>
  <c r="Y119" i="27" s="1"/>
  <c r="X206" i="27"/>
  <c r="Z291" i="27"/>
  <c r="Y291" i="27" s="1"/>
  <c r="X102" i="27"/>
  <c r="Z170" i="27"/>
  <c r="Y170" i="27" s="1"/>
  <c r="X110" i="27"/>
  <c r="Z282" i="27"/>
  <c r="Y282" i="27" s="1"/>
  <c r="Z257" i="27"/>
  <c r="Z229" i="27"/>
  <c r="Y229" i="27" s="1"/>
  <c r="Z162" i="27"/>
  <c r="Y162" i="27" s="1"/>
  <c r="Z146" i="27"/>
  <c r="Y146" i="27" s="1"/>
  <c r="Z156" i="27"/>
  <c r="Y156" i="27" s="1"/>
  <c r="X291" i="27"/>
  <c r="Z166" i="27"/>
  <c r="Y166" i="27" s="1"/>
  <c r="X119" i="27"/>
  <c r="Z168" i="27"/>
  <c r="Y168" i="27" s="1"/>
  <c r="Z131" i="27"/>
  <c r="Y131" i="27" s="1"/>
  <c r="Z105" i="27"/>
  <c r="Y105" i="27" s="1"/>
  <c r="X9" i="27"/>
  <c r="Z17" i="27"/>
  <c r="Y17" i="27" s="1"/>
  <c r="Z281" i="27"/>
  <c r="Y281" i="27" s="1"/>
  <c r="Z244" i="27"/>
  <c r="Y244" i="27" s="1"/>
  <c r="X261" i="27"/>
  <c r="Z220" i="27"/>
  <c r="Y220" i="27" s="1"/>
  <c r="X52" i="27"/>
  <c r="Z260" i="27"/>
  <c r="Y260" i="27" s="1"/>
  <c r="X292" i="27"/>
  <c r="X167" i="27"/>
  <c r="Z159" i="27"/>
  <c r="Y159" i="27" s="1"/>
  <c r="Z104" i="27"/>
  <c r="Y104" i="27" s="1"/>
  <c r="X118" i="27"/>
  <c r="X122" i="27"/>
  <c r="X27" i="27"/>
  <c r="Z271" i="27"/>
  <c r="Y271" i="27" s="1"/>
  <c r="X146" i="27"/>
  <c r="X232" i="27"/>
  <c r="Z152" i="27"/>
  <c r="Y152" i="27" s="1"/>
  <c r="X33" i="27"/>
  <c r="Z148" i="27"/>
  <c r="Y148" i="27" s="1"/>
  <c r="X127" i="27"/>
  <c r="Z61" i="27"/>
  <c r="Y61" i="27" s="1"/>
  <c r="Z247" i="27"/>
  <c r="Y247" i="27" s="1"/>
  <c r="Z262" i="27"/>
  <c r="Y262" i="27" s="1"/>
  <c r="X143" i="27"/>
  <c r="Z145" i="27"/>
  <c r="Y145" i="27" s="1"/>
  <c r="X19" i="27"/>
  <c r="X230" i="27"/>
  <c r="X245" i="27"/>
  <c r="X153" i="27"/>
  <c r="X144" i="27"/>
  <c r="Z60" i="27"/>
  <c r="Y60" i="27" s="1"/>
  <c r="Z149" i="27"/>
  <c r="Y149" i="27" s="1"/>
  <c r="Z39" i="27"/>
  <c r="Y39" i="27" s="1"/>
  <c r="X161" i="27"/>
  <c r="Z87" i="27"/>
  <c r="Y87" i="27" s="1"/>
  <c r="Z217" i="27"/>
  <c r="Y217" i="27" s="1"/>
  <c r="Z124" i="27"/>
  <c r="Y124" i="27" s="1"/>
  <c r="Z272" i="27"/>
  <c r="Y272" i="27" s="1"/>
  <c r="X242" i="27"/>
  <c r="Z75" i="27"/>
  <c r="Y75" i="27" s="1"/>
  <c r="Z154" i="27"/>
  <c r="Y154" i="27" s="1"/>
  <c r="X131" i="27"/>
  <c r="Z230" i="27"/>
  <c r="Y230" i="27" s="1"/>
  <c r="X86" i="27"/>
  <c r="Z73" i="27"/>
  <c r="Y73" i="27" s="1"/>
  <c r="Z76" i="27"/>
  <c r="Y76" i="27" s="1"/>
  <c r="Z102" i="27"/>
  <c r="Y102" i="27" s="1"/>
  <c r="X120" i="27"/>
  <c r="X126" i="27"/>
  <c r="X282" i="27"/>
  <c r="X281" i="27"/>
  <c r="X217" i="27"/>
  <c r="X272" i="27"/>
  <c r="X116" i="27"/>
  <c r="X123" i="27"/>
  <c r="X56" i="27"/>
  <c r="X112" i="27"/>
  <c r="Z259" i="27"/>
  <c r="Y259" i="27" s="1"/>
  <c r="X260" i="27"/>
  <c r="X246" i="27"/>
  <c r="X170" i="27"/>
  <c r="Z155" i="27"/>
  <c r="Y155" i="27" s="1"/>
  <c r="X111" i="27"/>
  <c r="X65" i="27"/>
  <c r="Z107" i="27"/>
  <c r="Y107" i="27" s="1"/>
  <c r="Z242" i="27"/>
  <c r="Y242" i="27" s="1"/>
  <c r="X78" i="27"/>
  <c r="Z143" i="27"/>
  <c r="Y143" i="27" s="1"/>
  <c r="X149" i="27"/>
  <c r="Z71" i="27"/>
  <c r="Y71" i="27" s="1"/>
  <c r="X71" i="27"/>
  <c r="Z57" i="27"/>
  <c r="Y57" i="27" s="1"/>
  <c r="X87" i="27"/>
  <c r="Z67" i="27"/>
  <c r="Y67" i="27" s="1"/>
  <c r="X81" i="27"/>
  <c r="Z150" i="27"/>
  <c r="Y150" i="27" s="1"/>
  <c r="Z169" i="27"/>
  <c r="Y169" i="27" s="1"/>
  <c r="X164" i="27"/>
  <c r="X58" i="27"/>
  <c r="X80" i="27"/>
  <c r="X220" i="27"/>
  <c r="Z121" i="27"/>
  <c r="Y121" i="27" s="1"/>
  <c r="Z111" i="27"/>
  <c r="Y111" i="27" s="1"/>
  <c r="X160" i="27"/>
  <c r="Z68" i="27"/>
  <c r="Y68" i="27" s="1"/>
  <c r="X75" i="27"/>
  <c r="X244" i="27"/>
  <c r="X74" i="27"/>
  <c r="X162" i="27"/>
  <c r="Z161" i="27"/>
  <c r="Y161" i="27" s="1"/>
  <c r="Z116" i="27"/>
  <c r="Y116" i="27" s="1"/>
  <c r="Z32" i="27"/>
  <c r="Y32" i="27" s="1"/>
  <c r="X37" i="27"/>
  <c r="X35" i="27"/>
  <c r="X13" i="27"/>
  <c r="X54" i="27"/>
  <c r="Z55" i="27"/>
  <c r="Y55" i="27" s="1"/>
  <c r="X113" i="27"/>
  <c r="X36" i="27"/>
  <c r="Z108" i="27"/>
  <c r="Y108" i="27" s="1"/>
  <c r="X108" i="27"/>
  <c r="Z86" i="27"/>
  <c r="Y86" i="27" s="1"/>
  <c r="X104" i="27"/>
  <c r="X34" i="27"/>
  <c r="Z72" i="27"/>
  <c r="Y72" i="27" s="1"/>
  <c r="X158" i="27"/>
  <c r="Z78" i="27"/>
  <c r="Y78" i="27" s="1"/>
  <c r="X83" i="27"/>
  <c r="AI156" i="27"/>
  <c r="X20" i="27"/>
  <c r="X72" i="27"/>
  <c r="Z53" i="27"/>
  <c r="Y53" i="27" s="1"/>
  <c r="X53" i="27"/>
  <c r="AI114" i="27"/>
  <c r="Z29" i="27"/>
  <c r="Y29" i="27" s="1"/>
  <c r="X165" i="27"/>
  <c r="X156" i="27"/>
  <c r="X106" i="27"/>
  <c r="X64" i="27"/>
  <c r="Z172" i="27"/>
  <c r="Y172" i="27" s="1"/>
  <c r="X107" i="27"/>
  <c r="Z106" i="27"/>
  <c r="Y106" i="27" s="1"/>
  <c r="Z147" i="27"/>
  <c r="Y147" i="27" s="1"/>
  <c r="X148" i="27"/>
  <c r="X103" i="27"/>
  <c r="Z103" i="27"/>
  <c r="Y103" i="27" s="1"/>
  <c r="Z171" i="27"/>
  <c r="Y171" i="27" s="1"/>
  <c r="X171" i="27"/>
  <c r="Z125" i="27"/>
  <c r="Y125" i="27" s="1"/>
  <c r="X114" i="27"/>
  <c r="X23" i="27"/>
  <c r="Z35" i="27"/>
  <c r="Y35" i="27" s="1"/>
  <c r="X31" i="27"/>
  <c r="Z21" i="27"/>
  <c r="Y21" i="27" s="1"/>
  <c r="Z38" i="27"/>
  <c r="Y38" i="27" s="1"/>
  <c r="X38" i="27"/>
  <c r="X61" i="27"/>
  <c r="X105" i="27"/>
  <c r="Z54" i="27"/>
  <c r="Y54" i="27" s="1"/>
  <c r="X57" i="27"/>
  <c r="X26" i="27"/>
  <c r="Z20" i="27"/>
  <c r="Y20" i="27" s="1"/>
  <c r="X41" i="22"/>
  <c r="K39" i="22"/>
  <c r="X39" i="22" s="1"/>
  <c r="X40" i="22"/>
  <c r="M53" i="13"/>
  <c r="F204" i="25" s="1"/>
  <c r="M54" i="13"/>
  <c r="K234" i="22"/>
  <c r="W234" i="22"/>
  <c r="Q223" i="22"/>
  <c r="G204" i="25"/>
  <c r="H204" i="25" s="1"/>
  <c r="G279" i="22"/>
  <c r="G219" i="25"/>
  <c r="G294" i="22"/>
  <c r="G218" i="25"/>
  <c r="G293" i="22"/>
  <c r="G205" i="25"/>
  <c r="G280" i="22"/>
  <c r="F279" i="22"/>
  <c r="R54" i="13"/>
  <c r="R53" i="13"/>
  <c r="F221" i="22"/>
  <c r="H221" i="22" s="1"/>
  <c r="F223" i="22"/>
  <c r="H223" i="22" s="1"/>
  <c r="F235" i="22"/>
  <c r="H235" i="22" s="1"/>
  <c r="P54" i="13"/>
  <c r="P53" i="13"/>
  <c r="F222" i="22"/>
  <c r="H222" i="22" s="1"/>
  <c r="F234" i="22"/>
  <c r="H234" i="22" s="1"/>
  <c r="F236" i="22"/>
  <c r="H236" i="22" s="1"/>
  <c r="Q235" i="22"/>
  <c r="T234" i="22"/>
  <c r="N235" i="22"/>
  <c r="X220" i="25"/>
  <c r="Z220" i="25"/>
  <c r="Y220" i="25" s="1"/>
  <c r="X101" i="25"/>
  <c r="X155" i="25"/>
  <c r="Z103" i="25"/>
  <c r="Y103" i="25" s="1"/>
  <c r="Z104" i="25"/>
  <c r="Y104" i="25" s="1"/>
  <c r="Z240" i="25"/>
  <c r="Y240" i="25" s="1"/>
  <c r="X100" i="25"/>
  <c r="X168" i="25"/>
  <c r="X102" i="25"/>
  <c r="Z136" i="25"/>
  <c r="Y136" i="25" s="1"/>
  <c r="X99" i="25"/>
  <c r="X132" i="25"/>
  <c r="X206" i="25"/>
  <c r="X104" i="25"/>
  <c r="Z135" i="25"/>
  <c r="Y135" i="25" s="1"/>
  <c r="Z230" i="25"/>
  <c r="Y230" i="25" s="1"/>
  <c r="X240" i="25"/>
  <c r="X157" i="25"/>
  <c r="X169" i="25"/>
  <c r="X230" i="25"/>
  <c r="X156" i="25"/>
  <c r="X135" i="25"/>
  <c r="Z99" i="25"/>
  <c r="Y99" i="25" s="1"/>
  <c r="X250" i="25"/>
  <c r="Z132" i="25"/>
  <c r="Y132" i="25" s="1"/>
  <c r="X167" i="25"/>
  <c r="Z206" i="25"/>
  <c r="Y206" i="25" s="1"/>
  <c r="Z133" i="25"/>
  <c r="Y133" i="25" s="1"/>
  <c r="X133" i="25"/>
  <c r="AI128" i="25"/>
  <c r="X134" i="25"/>
  <c r="Z134" i="25"/>
  <c r="Y134" i="25" s="1"/>
  <c r="Z101" i="25"/>
  <c r="Y101" i="25" s="1"/>
  <c r="Z29" i="25"/>
  <c r="Y29" i="25" s="1"/>
  <c r="X136" i="25"/>
  <c r="Z64" i="25"/>
  <c r="Y64" i="25" s="1"/>
  <c r="X64" i="25"/>
  <c r="Z28" i="25"/>
  <c r="Y28" i="25" s="1"/>
  <c r="Z250" i="25"/>
  <c r="Y250" i="25" s="1"/>
  <c r="AI96" i="25"/>
  <c r="X131" i="25"/>
  <c r="Z131" i="25"/>
  <c r="Y131" i="25" s="1"/>
  <c r="Z66" i="25"/>
  <c r="Y66" i="25" s="1"/>
  <c r="X66" i="25"/>
  <c r="Q234" i="22"/>
  <c r="W235" i="22"/>
  <c r="K235" i="22"/>
  <c r="T223" i="22"/>
  <c r="N234" i="22"/>
  <c r="K236" i="22"/>
  <c r="W236" i="22"/>
  <c r="K221" i="22"/>
  <c r="N236" i="22"/>
  <c r="Q236" i="22"/>
  <c r="T236" i="22"/>
  <c r="T235" i="22"/>
  <c r="T222" i="22"/>
  <c r="W223" i="22"/>
  <c r="K223" i="22"/>
  <c r="N223" i="22"/>
  <c r="N222" i="22"/>
  <c r="W221" i="22"/>
  <c r="K222" i="22"/>
  <c r="W222" i="22"/>
  <c r="N221" i="22"/>
  <c r="Q221" i="22"/>
  <c r="T221" i="22"/>
  <c r="R55" i="13"/>
  <c r="M55" i="13"/>
  <c r="Z451" i="22"/>
  <c r="Y451" i="22" s="1"/>
  <c r="X451" i="22"/>
  <c r="Z439" i="22"/>
  <c r="Y439" i="22" s="1"/>
  <c r="X439" i="22"/>
  <c r="V233" i="22"/>
  <c r="U233" i="22"/>
  <c r="S233" i="22"/>
  <c r="R233" i="22"/>
  <c r="P233" i="22"/>
  <c r="O233" i="22"/>
  <c r="V220" i="22"/>
  <c r="U220" i="22"/>
  <c r="S220" i="22"/>
  <c r="R220" i="22"/>
  <c r="P220" i="22"/>
  <c r="O220" i="22"/>
  <c r="Z343" i="22"/>
  <c r="Z344" i="22"/>
  <c r="V395" i="22"/>
  <c r="V396" i="22"/>
  <c r="V397" i="22"/>
  <c r="V398" i="22"/>
  <c r="V399" i="22"/>
  <c r="V400" i="22"/>
  <c r="V401" i="22"/>
  <c r="V402" i="22"/>
  <c r="V403" i="22"/>
  <c r="V404" i="22"/>
  <c r="V394" i="22"/>
  <c r="S395" i="22"/>
  <c r="S396" i="22"/>
  <c r="S397" i="22"/>
  <c r="S398" i="22"/>
  <c r="S399" i="22"/>
  <c r="S400" i="22"/>
  <c r="S401" i="22"/>
  <c r="S402" i="22"/>
  <c r="S403" i="22"/>
  <c r="S404" i="22"/>
  <c r="S394" i="22"/>
  <c r="P395" i="22"/>
  <c r="P396" i="22"/>
  <c r="P397" i="22"/>
  <c r="P398" i="22"/>
  <c r="P399" i="22"/>
  <c r="P400" i="22"/>
  <c r="P401" i="22"/>
  <c r="P402" i="22"/>
  <c r="P403" i="22"/>
  <c r="P404" i="22"/>
  <c r="P394" i="22"/>
  <c r="G395" i="22"/>
  <c r="G396" i="22"/>
  <c r="G397" i="22"/>
  <c r="G398" i="22"/>
  <c r="G399" i="22"/>
  <c r="G400" i="22"/>
  <c r="G401" i="22"/>
  <c r="G402" i="22"/>
  <c r="G403" i="22"/>
  <c r="G404" i="22"/>
  <c r="V365" i="22"/>
  <c r="S365" i="22"/>
  <c r="P365" i="22"/>
  <c r="M365" i="22"/>
  <c r="G365" i="22"/>
  <c r="S375" i="22"/>
  <c r="S376" i="22"/>
  <c r="S377" i="22"/>
  <c r="S379" i="22"/>
  <c r="S380" i="22"/>
  <c r="S381" i="22"/>
  <c r="S382" i="22"/>
  <c r="S383" i="22"/>
  <c r="S374" i="22"/>
  <c r="P383" i="22"/>
  <c r="P382" i="22"/>
  <c r="P381" i="22"/>
  <c r="P380" i="22"/>
  <c r="P377" i="22"/>
  <c r="P376" i="22"/>
  <c r="P375" i="22"/>
  <c r="P374" i="22"/>
  <c r="V375" i="22"/>
  <c r="V376" i="22"/>
  <c r="V377" i="22"/>
  <c r="V379" i="22"/>
  <c r="V380" i="22"/>
  <c r="V381" i="22"/>
  <c r="V382" i="22"/>
  <c r="V383" i="22"/>
  <c r="V374" i="22"/>
  <c r="G383" i="22"/>
  <c r="G382" i="22"/>
  <c r="G381" i="22"/>
  <c r="G380" i="22"/>
  <c r="G377" i="22"/>
  <c r="X344" i="22"/>
  <c r="X343" i="22"/>
  <c r="L332" i="22"/>
  <c r="L333" i="22"/>
  <c r="G333" i="22"/>
  <c r="F333" i="22"/>
  <c r="P332" i="22"/>
  <c r="P333" i="22"/>
  <c r="O332" i="22"/>
  <c r="O333" i="22"/>
  <c r="P331" i="22"/>
  <c r="P318" i="22"/>
  <c r="P319" i="22"/>
  <c r="P320" i="22"/>
  <c r="P321" i="22"/>
  <c r="P322" i="22"/>
  <c r="O319" i="22"/>
  <c r="O320" i="22"/>
  <c r="O321" i="22"/>
  <c r="O322" i="22"/>
  <c r="L319" i="22"/>
  <c r="L320" i="22"/>
  <c r="L321" i="22"/>
  <c r="L322" i="22"/>
  <c r="G320" i="22"/>
  <c r="G321" i="22"/>
  <c r="G322" i="22"/>
  <c r="F320" i="22"/>
  <c r="F321" i="22"/>
  <c r="F322" i="22"/>
  <c r="P306" i="22"/>
  <c r="P307" i="22"/>
  <c r="P308" i="22"/>
  <c r="P309" i="22"/>
  <c r="O306" i="22"/>
  <c r="O307" i="22"/>
  <c r="O308" i="22"/>
  <c r="O309" i="22"/>
  <c r="G307" i="22"/>
  <c r="G308" i="22"/>
  <c r="G309" i="22"/>
  <c r="F307" i="22"/>
  <c r="F308" i="22"/>
  <c r="F309" i="22"/>
  <c r="V295" i="22"/>
  <c r="V291" i="22"/>
  <c r="V292" i="22"/>
  <c r="V293" i="22"/>
  <c r="V294" i="22"/>
  <c r="U291" i="22"/>
  <c r="U292" i="22"/>
  <c r="U293" i="22"/>
  <c r="U294" i="22"/>
  <c r="U295" i="22"/>
  <c r="S291" i="22"/>
  <c r="S292" i="22"/>
  <c r="S293" i="22"/>
  <c r="S294" i="22"/>
  <c r="S295" i="22"/>
  <c r="R291" i="22"/>
  <c r="R292" i="22"/>
  <c r="R293" i="22"/>
  <c r="R294" i="22"/>
  <c r="R295" i="22"/>
  <c r="P291" i="22"/>
  <c r="P292" i="22"/>
  <c r="P293" i="22"/>
  <c r="P294" i="22"/>
  <c r="P295" i="22"/>
  <c r="O291" i="22"/>
  <c r="O292" i="22"/>
  <c r="O293" i="22"/>
  <c r="O294" i="22"/>
  <c r="O295" i="22"/>
  <c r="V277" i="22"/>
  <c r="V278" i="22"/>
  <c r="V279" i="22"/>
  <c r="V280" i="22"/>
  <c r="V281" i="22"/>
  <c r="U277" i="22"/>
  <c r="U278" i="22"/>
  <c r="U279" i="22"/>
  <c r="U280" i="22"/>
  <c r="U281" i="22"/>
  <c r="V276" i="22"/>
  <c r="U276" i="22"/>
  <c r="S277" i="22"/>
  <c r="S278" i="22"/>
  <c r="S279" i="22"/>
  <c r="S280" i="22"/>
  <c r="S281" i="22"/>
  <c r="R277" i="22"/>
  <c r="R278" i="22"/>
  <c r="R279" i="22"/>
  <c r="R280" i="22"/>
  <c r="R281" i="22"/>
  <c r="P277" i="22"/>
  <c r="P278" i="22"/>
  <c r="P279" i="22"/>
  <c r="P280" i="22"/>
  <c r="P281" i="22"/>
  <c r="O277" i="22"/>
  <c r="O278" i="22"/>
  <c r="O279" i="22"/>
  <c r="O280" i="22"/>
  <c r="O281" i="22"/>
  <c r="P276" i="22"/>
  <c r="O276" i="22"/>
  <c r="V261" i="22"/>
  <c r="V262" i="22"/>
  <c r="V263" i="22"/>
  <c r="V264" i="22"/>
  <c r="V265" i="22"/>
  <c r="V266" i="22"/>
  <c r="U261" i="22"/>
  <c r="U262" i="22"/>
  <c r="U263" i="22"/>
  <c r="U264" i="22"/>
  <c r="U265" i="22"/>
  <c r="U266" i="22"/>
  <c r="V260" i="22"/>
  <c r="U260" i="22"/>
  <c r="S261" i="22"/>
  <c r="S262" i="22"/>
  <c r="S263" i="22"/>
  <c r="S264" i="22"/>
  <c r="S265" i="22"/>
  <c r="S266" i="22"/>
  <c r="R261" i="22"/>
  <c r="R262" i="22"/>
  <c r="R263" i="22"/>
  <c r="R264" i="22"/>
  <c r="R265" i="22"/>
  <c r="R266" i="22"/>
  <c r="R260" i="22"/>
  <c r="S260" i="22"/>
  <c r="P261" i="22"/>
  <c r="P262" i="22"/>
  <c r="P263" i="22"/>
  <c r="P264" i="22"/>
  <c r="P265" i="22"/>
  <c r="P266" i="22"/>
  <c r="O261" i="22"/>
  <c r="O262" i="22"/>
  <c r="O263" i="22"/>
  <c r="O264" i="22"/>
  <c r="O265" i="22"/>
  <c r="O266" i="22"/>
  <c r="P260" i="22"/>
  <c r="O260" i="22"/>
  <c r="G262" i="22"/>
  <c r="G263" i="22"/>
  <c r="G264" i="22"/>
  <c r="G265" i="22"/>
  <c r="G266" i="22"/>
  <c r="F262" i="22"/>
  <c r="F263" i="22"/>
  <c r="F264" i="22"/>
  <c r="F265" i="22"/>
  <c r="F266" i="22"/>
  <c r="V249" i="22"/>
  <c r="V250" i="22"/>
  <c r="V251" i="22"/>
  <c r="U249" i="22"/>
  <c r="U250" i="22"/>
  <c r="U251" i="22"/>
  <c r="V248" i="22"/>
  <c r="U248" i="22"/>
  <c r="S249" i="22"/>
  <c r="S250" i="22"/>
  <c r="S251" i="22"/>
  <c r="R249" i="22"/>
  <c r="R250" i="22"/>
  <c r="R251" i="22"/>
  <c r="P249" i="22"/>
  <c r="P250" i="22"/>
  <c r="P251" i="22"/>
  <c r="O249" i="22"/>
  <c r="O250" i="22"/>
  <c r="O251" i="22"/>
  <c r="G250" i="22"/>
  <c r="G251" i="22"/>
  <c r="F250" i="22"/>
  <c r="F251" i="22"/>
  <c r="AB191" i="22"/>
  <c r="AB192" i="22"/>
  <c r="AB193" i="22"/>
  <c r="AB194" i="22"/>
  <c r="V194" i="22"/>
  <c r="U194" i="22"/>
  <c r="S194" i="22"/>
  <c r="R194" i="22"/>
  <c r="P194" i="22"/>
  <c r="O194" i="22"/>
  <c r="G194" i="22"/>
  <c r="F194" i="22"/>
  <c r="V193" i="22"/>
  <c r="U193" i="22"/>
  <c r="S193" i="22"/>
  <c r="R193" i="22"/>
  <c r="P193" i="22"/>
  <c r="O193" i="22"/>
  <c r="G193" i="22"/>
  <c r="F193" i="22"/>
  <c r="V192" i="22"/>
  <c r="U192" i="22"/>
  <c r="S192" i="22"/>
  <c r="R192" i="22"/>
  <c r="P192" i="22"/>
  <c r="O192" i="22"/>
  <c r="G192" i="22"/>
  <c r="F192" i="22"/>
  <c r="V191" i="22"/>
  <c r="U191" i="22"/>
  <c r="S191" i="22"/>
  <c r="R191" i="22"/>
  <c r="P191" i="22"/>
  <c r="O191" i="22"/>
  <c r="G191" i="22"/>
  <c r="F191" i="22"/>
  <c r="AB190" i="22"/>
  <c r="V190" i="22"/>
  <c r="U190" i="22"/>
  <c r="S190" i="22"/>
  <c r="R190" i="22"/>
  <c r="P190" i="22"/>
  <c r="O190" i="22"/>
  <c r="G190" i="22"/>
  <c r="F190" i="22"/>
  <c r="AB189" i="22"/>
  <c r="V189" i="22"/>
  <c r="U189" i="22"/>
  <c r="S189" i="22"/>
  <c r="R189" i="22"/>
  <c r="P189" i="22"/>
  <c r="O189" i="22"/>
  <c r="G189" i="22"/>
  <c r="F189" i="22"/>
  <c r="AB188" i="22"/>
  <c r="V188" i="22"/>
  <c r="U188" i="22"/>
  <c r="S188" i="22"/>
  <c r="R188" i="22"/>
  <c r="P188" i="22"/>
  <c r="O188" i="22"/>
  <c r="G188" i="22"/>
  <c r="F188" i="22"/>
  <c r="AB187" i="22"/>
  <c r="V187" i="22"/>
  <c r="U187" i="22"/>
  <c r="S187" i="22"/>
  <c r="R187" i="22"/>
  <c r="P187" i="22"/>
  <c r="O187" i="22"/>
  <c r="G187" i="22"/>
  <c r="F187" i="22"/>
  <c r="AB186" i="22"/>
  <c r="V186" i="22"/>
  <c r="U186" i="22"/>
  <c r="S186" i="22"/>
  <c r="R186" i="22"/>
  <c r="P186" i="22"/>
  <c r="O186" i="22"/>
  <c r="G186" i="22"/>
  <c r="F186" i="22"/>
  <c r="AB185" i="22"/>
  <c r="V185" i="22"/>
  <c r="U185" i="22"/>
  <c r="S185" i="22"/>
  <c r="R185" i="22"/>
  <c r="P185" i="22"/>
  <c r="O185" i="22"/>
  <c r="G185" i="22"/>
  <c r="F185" i="22"/>
  <c r="AB184" i="22"/>
  <c r="E184" i="22" s="1"/>
  <c r="V184" i="22"/>
  <c r="U184" i="22"/>
  <c r="S184" i="22"/>
  <c r="R184" i="22"/>
  <c r="P184" i="22"/>
  <c r="O184" i="22"/>
  <c r="G184" i="22"/>
  <c r="F184" i="22"/>
  <c r="AB183" i="22"/>
  <c r="E183" i="22" s="1"/>
  <c r="V183" i="22"/>
  <c r="U183" i="22"/>
  <c r="S183" i="22"/>
  <c r="R183" i="22"/>
  <c r="P183" i="22"/>
  <c r="O183" i="22"/>
  <c r="G183" i="22"/>
  <c r="F183" i="22"/>
  <c r="AB182" i="22"/>
  <c r="V182" i="22"/>
  <c r="U182" i="22"/>
  <c r="S182" i="22"/>
  <c r="R182" i="22"/>
  <c r="P182" i="22"/>
  <c r="O182" i="22"/>
  <c r="G182" i="22"/>
  <c r="F182" i="22"/>
  <c r="AB181" i="22"/>
  <c r="E181" i="22" s="1"/>
  <c r="V181" i="22"/>
  <c r="U181" i="22"/>
  <c r="S181" i="22"/>
  <c r="R181" i="22"/>
  <c r="P181" i="22"/>
  <c r="O181" i="22"/>
  <c r="G181" i="22"/>
  <c r="F181" i="22"/>
  <c r="AB180" i="22"/>
  <c r="E180" i="22" s="1"/>
  <c r="V180" i="22"/>
  <c r="U180" i="22"/>
  <c r="S180" i="22"/>
  <c r="R180" i="22"/>
  <c r="P180" i="22"/>
  <c r="O180" i="22"/>
  <c r="G180" i="22"/>
  <c r="F180" i="22"/>
  <c r="AB179" i="22"/>
  <c r="E179" i="22" s="1"/>
  <c r="V179" i="22"/>
  <c r="U179" i="22"/>
  <c r="S179" i="22"/>
  <c r="R179" i="22"/>
  <c r="P179" i="22"/>
  <c r="O179" i="22"/>
  <c r="G179" i="22"/>
  <c r="F179" i="22"/>
  <c r="AB178" i="22"/>
  <c r="E178" i="22" s="1"/>
  <c r="V178" i="22"/>
  <c r="U178" i="22"/>
  <c r="S178" i="22"/>
  <c r="R178" i="22"/>
  <c r="P178" i="22"/>
  <c r="O178" i="22"/>
  <c r="AB177" i="22"/>
  <c r="E177" i="22" s="1"/>
  <c r="V177" i="22"/>
  <c r="U177" i="22"/>
  <c r="S177" i="22"/>
  <c r="R177" i="22"/>
  <c r="P177" i="22"/>
  <c r="O177" i="22"/>
  <c r="AC176" i="22"/>
  <c r="AB176" i="22"/>
  <c r="E176" i="22" s="1"/>
  <c r="V176" i="22"/>
  <c r="U176" i="22"/>
  <c r="S176" i="22"/>
  <c r="R176" i="22"/>
  <c r="P176" i="22"/>
  <c r="O176" i="22"/>
  <c r="AB175" i="22"/>
  <c r="E175" i="22" s="1"/>
  <c r="V175" i="22"/>
  <c r="U175" i="22"/>
  <c r="S175" i="22"/>
  <c r="R175" i="22"/>
  <c r="P175" i="22"/>
  <c r="O175" i="22"/>
  <c r="AB174" i="22"/>
  <c r="E174" i="22" s="1"/>
  <c r="V174" i="22"/>
  <c r="U174" i="22"/>
  <c r="S174" i="22"/>
  <c r="R174" i="22"/>
  <c r="P174" i="22"/>
  <c r="O174" i="22"/>
  <c r="AB173" i="22"/>
  <c r="E173" i="22" s="1"/>
  <c r="V173" i="22"/>
  <c r="U173" i="22"/>
  <c r="S173" i="22"/>
  <c r="R173" i="22"/>
  <c r="P173" i="22"/>
  <c r="O173" i="22"/>
  <c r="AB172" i="22"/>
  <c r="E172" i="22" s="1"/>
  <c r="V172" i="22"/>
  <c r="U172" i="22"/>
  <c r="S172" i="22"/>
  <c r="R172" i="22"/>
  <c r="P172" i="22"/>
  <c r="O172" i="22"/>
  <c r="AB171" i="22"/>
  <c r="E171" i="22" s="1"/>
  <c r="V171" i="22"/>
  <c r="U171" i="22"/>
  <c r="S171" i="22"/>
  <c r="R171" i="22"/>
  <c r="P171" i="22"/>
  <c r="O171" i="22"/>
  <c r="AB170" i="22"/>
  <c r="E170" i="22" s="1"/>
  <c r="V170" i="22"/>
  <c r="U170" i="22"/>
  <c r="S170" i="22"/>
  <c r="R170" i="22"/>
  <c r="P170" i="22"/>
  <c r="O170" i="22"/>
  <c r="AB169" i="22"/>
  <c r="E169" i="22" s="1"/>
  <c r="V169" i="22"/>
  <c r="U169" i="22"/>
  <c r="S169" i="22"/>
  <c r="R169" i="22"/>
  <c r="P169" i="22"/>
  <c r="O169" i="22"/>
  <c r="AB168" i="22"/>
  <c r="E168" i="22" s="1"/>
  <c r="P168" i="22"/>
  <c r="O168" i="22"/>
  <c r="AB167" i="22"/>
  <c r="E167" i="22" s="1"/>
  <c r="V167" i="22"/>
  <c r="U167" i="22"/>
  <c r="S167" i="22"/>
  <c r="R167" i="22"/>
  <c r="P167" i="22"/>
  <c r="O167" i="22"/>
  <c r="AB166" i="22"/>
  <c r="E166" i="22" s="1"/>
  <c r="V166" i="22"/>
  <c r="U166" i="22"/>
  <c r="S166" i="22"/>
  <c r="R166" i="22"/>
  <c r="P166" i="22"/>
  <c r="O166" i="22"/>
  <c r="AB165" i="22"/>
  <c r="E165" i="22" s="1"/>
  <c r="V165" i="22"/>
  <c r="U165" i="22"/>
  <c r="S165" i="22"/>
  <c r="R165" i="22"/>
  <c r="P165" i="22"/>
  <c r="O165" i="22"/>
  <c r="AB164" i="22"/>
  <c r="E164" i="22" s="1"/>
  <c r="V164" i="22"/>
  <c r="U164" i="22"/>
  <c r="S164" i="22"/>
  <c r="R164" i="22"/>
  <c r="P164" i="22"/>
  <c r="O164" i="22"/>
  <c r="V116" i="22"/>
  <c r="V117" i="22"/>
  <c r="V118" i="22"/>
  <c r="V120" i="22"/>
  <c r="V121" i="22"/>
  <c r="V122" i="22"/>
  <c r="V123" i="22"/>
  <c r="V124" i="22"/>
  <c r="V125" i="22"/>
  <c r="V126" i="22"/>
  <c r="V127" i="22"/>
  <c r="V128" i="22"/>
  <c r="V129" i="22"/>
  <c r="V130" i="22"/>
  <c r="V131" i="22"/>
  <c r="V132" i="22"/>
  <c r="V133" i="22"/>
  <c r="V134" i="22"/>
  <c r="V135" i="22"/>
  <c r="V136" i="22"/>
  <c r="V137" i="22"/>
  <c r="V138" i="22"/>
  <c r="V139" i="22"/>
  <c r="V140" i="22"/>
  <c r="V141" i="22"/>
  <c r="V142" i="22"/>
  <c r="V143" i="22"/>
  <c r="V144" i="22"/>
  <c r="V152" i="22"/>
  <c r="V115" i="22"/>
  <c r="U116" i="22"/>
  <c r="U117" i="22"/>
  <c r="U118" i="22"/>
  <c r="U120" i="22"/>
  <c r="U121" i="22"/>
  <c r="U122" i="22"/>
  <c r="U123" i="22"/>
  <c r="U124" i="22"/>
  <c r="U125" i="22"/>
  <c r="U126" i="22"/>
  <c r="U127" i="22"/>
  <c r="U128" i="22"/>
  <c r="U129" i="22"/>
  <c r="U130" i="22"/>
  <c r="U131" i="22"/>
  <c r="U132" i="22"/>
  <c r="U133" i="22"/>
  <c r="U134" i="22"/>
  <c r="U135" i="22"/>
  <c r="U136" i="22"/>
  <c r="U137" i="22"/>
  <c r="U138" i="22"/>
  <c r="U139" i="22"/>
  <c r="U140" i="22"/>
  <c r="U141" i="22"/>
  <c r="U142" i="22"/>
  <c r="U143" i="22"/>
  <c r="U144" i="22"/>
  <c r="U152" i="22"/>
  <c r="U115" i="22"/>
  <c r="R115" i="22"/>
  <c r="S116" i="22"/>
  <c r="S117" i="22"/>
  <c r="S118" i="22"/>
  <c r="S120" i="22"/>
  <c r="S121" i="22"/>
  <c r="S122" i="22"/>
  <c r="S123" i="22"/>
  <c r="S124" i="22"/>
  <c r="S125" i="22"/>
  <c r="S126" i="22"/>
  <c r="S127" i="22"/>
  <c r="S128" i="22"/>
  <c r="S129" i="22"/>
  <c r="S130" i="22"/>
  <c r="S131" i="22"/>
  <c r="S132" i="22"/>
  <c r="S133" i="22"/>
  <c r="S134" i="22"/>
  <c r="S135" i="22"/>
  <c r="S136" i="22"/>
  <c r="S137" i="22"/>
  <c r="S138" i="22"/>
  <c r="S139" i="22"/>
  <c r="S140" i="22"/>
  <c r="S141" i="22"/>
  <c r="S142" i="22"/>
  <c r="S143" i="22"/>
  <c r="S144" i="22"/>
  <c r="S152" i="22"/>
  <c r="R116" i="22"/>
  <c r="R117" i="22"/>
  <c r="R118" i="22"/>
  <c r="R119" i="22"/>
  <c r="R120" i="22"/>
  <c r="R121" i="22"/>
  <c r="R122" i="22"/>
  <c r="R123" i="22"/>
  <c r="R124" i="22"/>
  <c r="R125" i="22"/>
  <c r="R126" i="22"/>
  <c r="R127" i="22"/>
  <c r="R128" i="22"/>
  <c r="R129" i="22"/>
  <c r="R130" i="22"/>
  <c r="R131" i="22"/>
  <c r="R132" i="22"/>
  <c r="R133" i="22"/>
  <c r="R134" i="22"/>
  <c r="R135" i="22"/>
  <c r="R136" i="22"/>
  <c r="R137" i="22"/>
  <c r="R138" i="22"/>
  <c r="R139" i="22"/>
  <c r="R140" i="22"/>
  <c r="R141" i="22"/>
  <c r="R142" i="22"/>
  <c r="R143" i="22"/>
  <c r="R144" i="22"/>
  <c r="R152" i="22"/>
  <c r="P116" i="22"/>
  <c r="P117" i="22"/>
  <c r="P118" i="22"/>
  <c r="P119" i="22"/>
  <c r="P120" i="22"/>
  <c r="P121" i="22"/>
  <c r="P122" i="22"/>
  <c r="P123" i="22"/>
  <c r="P124" i="22"/>
  <c r="P125" i="22"/>
  <c r="P126" i="22"/>
  <c r="P127" i="22"/>
  <c r="P128" i="22"/>
  <c r="P129" i="22"/>
  <c r="P130" i="22"/>
  <c r="P131" i="22"/>
  <c r="P132" i="22"/>
  <c r="P133" i="22"/>
  <c r="P134" i="22"/>
  <c r="P135" i="22"/>
  <c r="P136" i="22"/>
  <c r="P137" i="22"/>
  <c r="P138" i="22"/>
  <c r="P139" i="22"/>
  <c r="P140" i="22"/>
  <c r="P141" i="22"/>
  <c r="P142" i="22"/>
  <c r="P143" i="22"/>
  <c r="P144" i="22"/>
  <c r="P152" i="22"/>
  <c r="O116" i="22"/>
  <c r="O117" i="22"/>
  <c r="O118" i="22"/>
  <c r="O119" i="22"/>
  <c r="O120" i="22"/>
  <c r="O121" i="22"/>
  <c r="O122" i="22"/>
  <c r="O123" i="22"/>
  <c r="O124" i="22"/>
  <c r="O125" i="22"/>
  <c r="O126" i="22"/>
  <c r="O127" i="22"/>
  <c r="O128" i="22"/>
  <c r="O129" i="22"/>
  <c r="O130" i="22"/>
  <c r="O131" i="22"/>
  <c r="O132" i="22"/>
  <c r="O133" i="22"/>
  <c r="O134" i="22"/>
  <c r="O135" i="22"/>
  <c r="O136" i="22"/>
  <c r="O137" i="22"/>
  <c r="O138" i="22"/>
  <c r="O139" i="22"/>
  <c r="O140" i="22"/>
  <c r="O141" i="22"/>
  <c r="O142" i="22"/>
  <c r="O143" i="22"/>
  <c r="O144" i="22"/>
  <c r="O152" i="22"/>
  <c r="G143" i="22"/>
  <c r="G130" i="22"/>
  <c r="G131" i="22"/>
  <c r="G132" i="22"/>
  <c r="G133" i="22"/>
  <c r="G134" i="22"/>
  <c r="G135" i="22"/>
  <c r="G136" i="22"/>
  <c r="G137" i="22"/>
  <c r="G138" i="22"/>
  <c r="G139" i="22"/>
  <c r="G140" i="22"/>
  <c r="G141" i="22"/>
  <c r="G142" i="22"/>
  <c r="G144" i="22"/>
  <c r="G152" i="22"/>
  <c r="F130" i="22"/>
  <c r="F131" i="22"/>
  <c r="F132" i="22"/>
  <c r="F133" i="22"/>
  <c r="F134" i="22"/>
  <c r="F135" i="22"/>
  <c r="F136" i="22"/>
  <c r="F137" i="22"/>
  <c r="F138" i="22"/>
  <c r="F139" i="22"/>
  <c r="F140" i="22"/>
  <c r="F141" i="22"/>
  <c r="F142" i="22"/>
  <c r="F143" i="22"/>
  <c r="F144" i="22"/>
  <c r="F152" i="22"/>
  <c r="AB85" i="22"/>
  <c r="AB86" i="22"/>
  <c r="AB87" i="22"/>
  <c r="AB88" i="22"/>
  <c r="AB89" i="22"/>
  <c r="AB90" i="22"/>
  <c r="AB91" i="22"/>
  <c r="AB92" i="22"/>
  <c r="AB93" i="22"/>
  <c r="AB94" i="22"/>
  <c r="AB95" i="22"/>
  <c r="AB100" i="22"/>
  <c r="V59" i="22"/>
  <c r="V60" i="22"/>
  <c r="V61" i="22"/>
  <c r="V62" i="22"/>
  <c r="V64" i="22"/>
  <c r="V65" i="22"/>
  <c r="V66" i="22"/>
  <c r="V67" i="22"/>
  <c r="V70" i="22"/>
  <c r="V71" i="22"/>
  <c r="V72" i="22"/>
  <c r="V73" i="22"/>
  <c r="V74" i="22"/>
  <c r="V75" i="22"/>
  <c r="V76" i="22"/>
  <c r="V77" i="22"/>
  <c r="V78" i="22"/>
  <c r="V79" i="22"/>
  <c r="V80" i="22"/>
  <c r="V81" i="22"/>
  <c r="V82" i="22"/>
  <c r="V83" i="22"/>
  <c r="V84" i="22"/>
  <c r="V85" i="22"/>
  <c r="V86" i="22"/>
  <c r="V87" i="22"/>
  <c r="V88" i="22"/>
  <c r="V89" i="22"/>
  <c r="V90" i="22"/>
  <c r="V91" i="22"/>
  <c r="V92" i="22"/>
  <c r="V93" i="22"/>
  <c r="V94" i="22"/>
  <c r="V95" i="22"/>
  <c r="V100" i="22"/>
  <c r="U59" i="22"/>
  <c r="U60" i="22"/>
  <c r="U61" i="22"/>
  <c r="U62" i="22"/>
  <c r="U64" i="22"/>
  <c r="U65" i="22"/>
  <c r="U66" i="22"/>
  <c r="U67" i="22"/>
  <c r="U69" i="22"/>
  <c r="U70" i="22"/>
  <c r="U71" i="22"/>
  <c r="U72" i="22"/>
  <c r="U73" i="22"/>
  <c r="U74" i="22"/>
  <c r="U75" i="22"/>
  <c r="U76" i="22"/>
  <c r="U77" i="22"/>
  <c r="U78" i="22"/>
  <c r="U79" i="22"/>
  <c r="U80" i="22"/>
  <c r="U81" i="22"/>
  <c r="U82" i="22"/>
  <c r="U83" i="22"/>
  <c r="U84" i="22"/>
  <c r="U85" i="22"/>
  <c r="U86" i="22"/>
  <c r="U87" i="22"/>
  <c r="U88" i="22"/>
  <c r="U89" i="22"/>
  <c r="U90" i="22"/>
  <c r="U91" i="22"/>
  <c r="U92" i="22"/>
  <c r="U93" i="22"/>
  <c r="U94" i="22"/>
  <c r="U95" i="22"/>
  <c r="U100" i="22"/>
  <c r="S61" i="22"/>
  <c r="S59" i="22"/>
  <c r="S60" i="22"/>
  <c r="S62" i="22"/>
  <c r="S64" i="22"/>
  <c r="S65" i="22"/>
  <c r="S66" i="22"/>
  <c r="S67" i="22"/>
  <c r="S70" i="22"/>
  <c r="S71" i="22"/>
  <c r="S72" i="22"/>
  <c r="S73" i="22"/>
  <c r="S74" i="22"/>
  <c r="S75" i="22"/>
  <c r="S76" i="22"/>
  <c r="S77" i="22"/>
  <c r="S78" i="22"/>
  <c r="S79" i="22"/>
  <c r="S80" i="22"/>
  <c r="S81" i="22"/>
  <c r="S82" i="22"/>
  <c r="S83" i="22"/>
  <c r="S84" i="22"/>
  <c r="S85" i="22"/>
  <c r="S86" i="22"/>
  <c r="S87" i="22"/>
  <c r="S88" i="22"/>
  <c r="S89" i="22"/>
  <c r="S90" i="22"/>
  <c r="S91" i="22"/>
  <c r="S92" i="22"/>
  <c r="S93" i="22"/>
  <c r="S94" i="22"/>
  <c r="S95" i="22"/>
  <c r="S100" i="22"/>
  <c r="R59" i="22"/>
  <c r="R60" i="22"/>
  <c r="R61" i="22"/>
  <c r="R62" i="22"/>
  <c r="R64" i="22"/>
  <c r="R65" i="22"/>
  <c r="R66" i="22"/>
  <c r="R67" i="22"/>
  <c r="R70" i="22"/>
  <c r="R71" i="22"/>
  <c r="R72" i="22"/>
  <c r="R73" i="22"/>
  <c r="R74" i="22"/>
  <c r="R75" i="22"/>
  <c r="R76" i="22"/>
  <c r="R77" i="22"/>
  <c r="R78" i="22"/>
  <c r="R79" i="22"/>
  <c r="R80" i="22"/>
  <c r="R81" i="22"/>
  <c r="R82" i="22"/>
  <c r="R83" i="22"/>
  <c r="R84" i="22"/>
  <c r="R85" i="22"/>
  <c r="R86" i="22"/>
  <c r="R87" i="22"/>
  <c r="R88" i="22"/>
  <c r="R89" i="22"/>
  <c r="R90" i="22"/>
  <c r="R91" i="22"/>
  <c r="R92" i="22"/>
  <c r="R93" i="22"/>
  <c r="R94" i="22"/>
  <c r="R95" i="22"/>
  <c r="R100" i="22"/>
  <c r="P59" i="22"/>
  <c r="P60" i="22"/>
  <c r="P61" i="22"/>
  <c r="P64" i="22"/>
  <c r="P65" i="22"/>
  <c r="P66" i="22"/>
  <c r="P67" i="22"/>
  <c r="P69" i="22"/>
  <c r="P70" i="22"/>
  <c r="P71" i="22"/>
  <c r="P72" i="22"/>
  <c r="P73" i="22"/>
  <c r="P74" i="22"/>
  <c r="P76" i="22"/>
  <c r="P77" i="22"/>
  <c r="P78" i="22"/>
  <c r="P79" i="22"/>
  <c r="P80" i="22"/>
  <c r="P82" i="22"/>
  <c r="P83" i="22"/>
  <c r="P84" i="22"/>
  <c r="P85" i="22"/>
  <c r="P86" i="22"/>
  <c r="P87" i="22"/>
  <c r="P88" i="22"/>
  <c r="P89" i="22"/>
  <c r="P90" i="22"/>
  <c r="P91" i="22"/>
  <c r="P92" i="22"/>
  <c r="P93" i="22"/>
  <c r="P94" i="22"/>
  <c r="P95" i="22"/>
  <c r="P100" i="22"/>
  <c r="O59" i="22"/>
  <c r="O60" i="22"/>
  <c r="O61" i="22"/>
  <c r="O64" i="22"/>
  <c r="O65" i="22"/>
  <c r="O66" i="22"/>
  <c r="O67" i="22"/>
  <c r="O69" i="22"/>
  <c r="O70" i="22"/>
  <c r="O71" i="22"/>
  <c r="O72" i="22"/>
  <c r="O73" i="22"/>
  <c r="O74" i="22"/>
  <c r="O76" i="22"/>
  <c r="O77" i="22"/>
  <c r="O78" i="22"/>
  <c r="O79" i="22"/>
  <c r="O80" i="22"/>
  <c r="O82" i="22"/>
  <c r="O83" i="22"/>
  <c r="O84" i="22"/>
  <c r="O85" i="22"/>
  <c r="O86" i="22"/>
  <c r="O87" i="22"/>
  <c r="O88" i="22"/>
  <c r="O89" i="22"/>
  <c r="O90" i="22"/>
  <c r="O91" i="22"/>
  <c r="O92" i="22"/>
  <c r="O93" i="22"/>
  <c r="O94" i="22"/>
  <c r="O95" i="22"/>
  <c r="O100" i="22"/>
  <c r="G79" i="22"/>
  <c r="G80" i="22"/>
  <c r="G81" i="22"/>
  <c r="G82" i="22"/>
  <c r="G83" i="22"/>
  <c r="G84" i="22"/>
  <c r="G85" i="22"/>
  <c r="G86" i="22"/>
  <c r="G87" i="22"/>
  <c r="G88" i="22"/>
  <c r="G89" i="22"/>
  <c r="G90" i="22"/>
  <c r="G91" i="22"/>
  <c r="G92" i="22"/>
  <c r="G93" i="22"/>
  <c r="G94" i="22"/>
  <c r="G95" i="22"/>
  <c r="G100" i="22"/>
  <c r="F100" i="22"/>
  <c r="F79" i="22"/>
  <c r="F80" i="22"/>
  <c r="F81" i="22"/>
  <c r="F82" i="22"/>
  <c r="F83" i="22"/>
  <c r="F84" i="22"/>
  <c r="F85" i="22"/>
  <c r="F86" i="22"/>
  <c r="F87" i="22"/>
  <c r="F88" i="22"/>
  <c r="F89" i="22"/>
  <c r="F90" i="22"/>
  <c r="F91" i="22"/>
  <c r="F92" i="22"/>
  <c r="F93" i="22"/>
  <c r="F94" i="22"/>
  <c r="F95" i="22"/>
  <c r="V58" i="22"/>
  <c r="U58" i="22"/>
  <c r="S58" i="22"/>
  <c r="R58" i="22"/>
  <c r="P58" i="22"/>
  <c r="O58" i="22"/>
  <c r="AB33" i="22"/>
  <c r="AB34" i="22"/>
  <c r="AB35" i="22"/>
  <c r="AB36" i="22"/>
  <c r="AB37" i="22"/>
  <c r="AB38" i="22"/>
  <c r="AB10" i="22"/>
  <c r="E10" i="22" s="1"/>
  <c r="AB11" i="22"/>
  <c r="E11" i="22" s="1"/>
  <c r="AB12" i="22"/>
  <c r="E12" i="22" s="1"/>
  <c r="AB9" i="22"/>
  <c r="D4" i="20"/>
  <c r="D5" i="20"/>
  <c r="D6" i="20"/>
  <c r="D7" i="20"/>
  <c r="D9" i="20"/>
  <c r="D10" i="20"/>
  <c r="D11" i="20"/>
  <c r="D12" i="20"/>
  <c r="D14" i="20"/>
  <c r="D16" i="20"/>
  <c r="D18" i="20"/>
  <c r="D19" i="20"/>
  <c r="D20" i="20"/>
  <c r="D22" i="20"/>
  <c r="D23" i="20"/>
  <c r="D24" i="20"/>
  <c r="D25" i="20"/>
  <c r="D26" i="20"/>
  <c r="D27" i="20"/>
  <c r="D28" i="20"/>
  <c r="D29" i="20"/>
  <c r="D33" i="20"/>
  <c r="D34" i="20"/>
  <c r="D36" i="20"/>
  <c r="AB6" i="22"/>
  <c r="E6" i="22" s="1"/>
  <c r="V7" i="22"/>
  <c r="V8" i="22"/>
  <c r="V9" i="22"/>
  <c r="V10" i="22"/>
  <c r="V12" i="22"/>
  <c r="V13" i="22"/>
  <c r="V14" i="22"/>
  <c r="V15" i="22"/>
  <c r="V16" i="22"/>
  <c r="V18" i="22"/>
  <c r="V19" i="22"/>
  <c r="V20" i="22"/>
  <c r="V21" i="22"/>
  <c r="V22" i="22"/>
  <c r="V23" i="22"/>
  <c r="V24" i="22"/>
  <c r="V25" i="22"/>
  <c r="V26" i="22"/>
  <c r="V27" i="22"/>
  <c r="V28" i="22"/>
  <c r="V29" i="22"/>
  <c r="V30" i="22"/>
  <c r="V31" i="22"/>
  <c r="V32" i="22"/>
  <c r="V33" i="22"/>
  <c r="V34" i="22"/>
  <c r="V35" i="22"/>
  <c r="V36" i="22"/>
  <c r="V37" i="22"/>
  <c r="V38" i="22"/>
  <c r="U7" i="22"/>
  <c r="U8" i="22"/>
  <c r="U9" i="22"/>
  <c r="U10" i="22"/>
  <c r="U12" i="22"/>
  <c r="U13" i="22"/>
  <c r="U14" i="22"/>
  <c r="U15" i="22"/>
  <c r="U16" i="22"/>
  <c r="U18" i="22"/>
  <c r="U19" i="22"/>
  <c r="U20" i="22"/>
  <c r="U21" i="22"/>
  <c r="U22" i="22"/>
  <c r="U23" i="22"/>
  <c r="U24" i="22"/>
  <c r="U25" i="22"/>
  <c r="U26" i="22"/>
  <c r="U27" i="22"/>
  <c r="U28" i="22"/>
  <c r="U29" i="22"/>
  <c r="U30" i="22"/>
  <c r="U31" i="22"/>
  <c r="U32" i="22"/>
  <c r="U33" i="22"/>
  <c r="U34" i="22"/>
  <c r="U35" i="22"/>
  <c r="U36" i="22"/>
  <c r="U37" i="22"/>
  <c r="U38" i="22"/>
  <c r="S7" i="22"/>
  <c r="S8" i="22"/>
  <c r="S9" i="22"/>
  <c r="S10" i="22"/>
  <c r="S12" i="22"/>
  <c r="S13" i="22"/>
  <c r="S14" i="22"/>
  <c r="S15" i="22"/>
  <c r="S18" i="22"/>
  <c r="S19" i="22"/>
  <c r="S20" i="22"/>
  <c r="S21" i="22"/>
  <c r="S22" i="22"/>
  <c r="S23" i="22"/>
  <c r="S24" i="22"/>
  <c r="S25" i="22"/>
  <c r="S26" i="22"/>
  <c r="S27" i="22"/>
  <c r="S28" i="22"/>
  <c r="S29" i="22"/>
  <c r="S30" i="22"/>
  <c r="S31" i="22"/>
  <c r="S32" i="22"/>
  <c r="S33" i="22"/>
  <c r="S34" i="22"/>
  <c r="S35" i="22"/>
  <c r="S36" i="22"/>
  <c r="S37" i="22"/>
  <c r="S38" i="22"/>
  <c r="R7" i="22"/>
  <c r="R8" i="22"/>
  <c r="R9" i="22"/>
  <c r="R10" i="22"/>
  <c r="R12" i="22"/>
  <c r="R13" i="22"/>
  <c r="R14" i="22"/>
  <c r="R15" i="22"/>
  <c r="R18" i="22"/>
  <c r="R19" i="22"/>
  <c r="R20" i="22"/>
  <c r="R21" i="22"/>
  <c r="R22" i="22"/>
  <c r="R23" i="22"/>
  <c r="R24" i="22"/>
  <c r="R25" i="22"/>
  <c r="R26" i="22"/>
  <c r="R27" i="22"/>
  <c r="R28" i="22"/>
  <c r="R29" i="22"/>
  <c r="R30" i="22"/>
  <c r="R31" i="22"/>
  <c r="R32" i="22"/>
  <c r="R33" i="22"/>
  <c r="R34" i="22"/>
  <c r="R35" i="22"/>
  <c r="R36" i="22"/>
  <c r="R37" i="22"/>
  <c r="R38" i="22"/>
  <c r="Q8" i="22"/>
  <c r="Q12" i="22"/>
  <c r="Q38" i="22"/>
  <c r="N17" i="22"/>
  <c r="N23" i="22"/>
  <c r="N27" i="22"/>
  <c r="N28" i="22"/>
  <c r="N32" i="22"/>
  <c r="N35" i="22"/>
  <c r="N38" i="22"/>
  <c r="G27" i="22"/>
  <c r="G28" i="22"/>
  <c r="G29" i="22"/>
  <c r="G30" i="22"/>
  <c r="G31" i="22"/>
  <c r="G32" i="22"/>
  <c r="G33" i="22"/>
  <c r="G34" i="22"/>
  <c r="G35" i="22"/>
  <c r="G36" i="22"/>
  <c r="G37" i="22"/>
  <c r="G38" i="22"/>
  <c r="F38" i="22"/>
  <c r="F37" i="22"/>
  <c r="F36" i="22"/>
  <c r="F35" i="22"/>
  <c r="F34" i="22"/>
  <c r="F33" i="22"/>
  <c r="F32" i="22"/>
  <c r="F31" i="22"/>
  <c r="F30" i="22"/>
  <c r="F29" i="22"/>
  <c r="F28" i="22"/>
  <c r="F27" i="22"/>
  <c r="V6" i="22"/>
  <c r="U6" i="22"/>
  <c r="R6" i="22"/>
  <c r="J52" i="24"/>
  <c r="L52" i="24" s="1"/>
  <c r="M52" i="24" s="1"/>
  <c r="J51" i="24"/>
  <c r="K51" i="24" s="1"/>
  <c r="T47" i="24"/>
  <c r="R47" i="24"/>
  <c r="Q47" i="24"/>
  <c r="S47" i="24" s="1"/>
  <c r="O47" i="24"/>
  <c r="N47" i="24"/>
  <c r="M47" i="24"/>
  <c r="U47" i="24" s="1"/>
  <c r="L47" i="24"/>
  <c r="Q46" i="24"/>
  <c r="S46" i="24" s="1"/>
  <c r="T46" i="24" s="1"/>
  <c r="L46" i="24"/>
  <c r="Q45" i="24"/>
  <c r="L45" i="24"/>
  <c r="M45" i="24" s="1"/>
  <c r="Q44" i="24"/>
  <c r="S44" i="24" s="1"/>
  <c r="T44" i="24" s="1"/>
  <c r="L44" i="24"/>
  <c r="M44" i="24" s="1"/>
  <c r="S40" i="24"/>
  <c r="T40" i="24" s="1"/>
  <c r="Q40" i="24"/>
  <c r="R40" i="24" s="1"/>
  <c r="L40" i="24"/>
  <c r="Q39" i="24"/>
  <c r="S39" i="24" s="1"/>
  <c r="T39" i="24" s="1"/>
  <c r="L39" i="24"/>
  <c r="T38" i="24"/>
  <c r="R38" i="24"/>
  <c r="U38" i="24" s="1"/>
  <c r="Q38" i="24"/>
  <c r="S38" i="24" s="1"/>
  <c r="L38" i="24"/>
  <c r="T35" i="24"/>
  <c r="R35" i="24"/>
  <c r="U35" i="24" s="1"/>
  <c r="Q35" i="24"/>
  <c r="S35" i="24" s="1"/>
  <c r="O35" i="24"/>
  <c r="M35" i="24"/>
  <c r="P35" i="24" s="1"/>
  <c r="L35" i="24"/>
  <c r="N35" i="24" s="1"/>
  <c r="Q34" i="24"/>
  <c r="L34" i="24"/>
  <c r="M34" i="24" s="1"/>
  <c r="T33" i="24"/>
  <c r="R33" i="24"/>
  <c r="U33" i="24" s="1"/>
  <c r="Q33" i="24"/>
  <c r="S33" i="24" s="1"/>
  <c r="M33" i="24"/>
  <c r="L33" i="24"/>
  <c r="N33" i="24" s="1"/>
  <c r="O33" i="24" s="1"/>
  <c r="Q32" i="24"/>
  <c r="S32" i="24" s="1"/>
  <c r="T32" i="24" s="1"/>
  <c r="M32" i="24"/>
  <c r="L32" i="24"/>
  <c r="N32" i="24" s="1"/>
  <c r="O32" i="24" s="1"/>
  <c r="T28" i="24"/>
  <c r="S28" i="24"/>
  <c r="R28" i="24"/>
  <c r="U28" i="24" s="1"/>
  <c r="Q28" i="24"/>
  <c r="O28" i="24"/>
  <c r="N28" i="24"/>
  <c r="M28" i="24"/>
  <c r="P28" i="24" s="1"/>
  <c r="L28" i="24"/>
  <c r="S27" i="24"/>
  <c r="T27" i="24" s="1"/>
  <c r="Q27" i="24"/>
  <c r="R27" i="24" s="1"/>
  <c r="U27" i="24" s="1"/>
  <c r="N27" i="24"/>
  <c r="O27" i="24" s="1"/>
  <c r="M27" i="24"/>
  <c r="P27" i="24" s="1"/>
  <c r="L27" i="24"/>
  <c r="S26" i="24"/>
  <c r="T26" i="24" s="1"/>
  <c r="Q26" i="24"/>
  <c r="R26" i="24" s="1"/>
  <c r="O26" i="24"/>
  <c r="N26" i="24"/>
  <c r="M26" i="24"/>
  <c r="L26" i="24"/>
  <c r="T25" i="24"/>
  <c r="S25" i="24"/>
  <c r="R25" i="24"/>
  <c r="U25" i="24" s="1"/>
  <c r="Q25" i="24"/>
  <c r="O25" i="24"/>
  <c r="N25" i="24"/>
  <c r="M25" i="24"/>
  <c r="P25" i="24" s="1"/>
  <c r="L25" i="24"/>
  <c r="S24" i="24"/>
  <c r="T24" i="24" s="1"/>
  <c r="Q24" i="24"/>
  <c r="R24" i="24" s="1"/>
  <c r="N24" i="24"/>
  <c r="O24" i="24" s="1"/>
  <c r="L24" i="24"/>
  <c r="M24" i="24" s="1"/>
  <c r="S23" i="24"/>
  <c r="T23" i="24" s="1"/>
  <c r="Q23" i="24"/>
  <c r="R23" i="24" s="1"/>
  <c r="O23" i="24"/>
  <c r="V69" i="22" s="1"/>
  <c r="N23" i="24"/>
  <c r="M23" i="24"/>
  <c r="L23" i="24"/>
  <c r="T22" i="24"/>
  <c r="S22" i="24"/>
  <c r="R22" i="24"/>
  <c r="U22" i="24" s="1"/>
  <c r="Q22" i="24"/>
  <c r="O22" i="24"/>
  <c r="N22" i="24"/>
  <c r="M22" i="24"/>
  <c r="P22" i="24" s="1"/>
  <c r="L22" i="24"/>
  <c r="T21" i="24"/>
  <c r="S21" i="24"/>
  <c r="R21" i="24"/>
  <c r="U21" i="24" s="1"/>
  <c r="Q21" i="24"/>
  <c r="O21" i="24"/>
  <c r="N21" i="24"/>
  <c r="M21" i="24"/>
  <c r="P21" i="24" s="1"/>
  <c r="L21" i="24"/>
  <c r="S20" i="24"/>
  <c r="T20" i="24" s="1"/>
  <c r="Q20" i="24"/>
  <c r="R20" i="24" s="1"/>
  <c r="N20" i="24"/>
  <c r="O20" i="24" s="1"/>
  <c r="L20" i="24"/>
  <c r="M20" i="24" s="1"/>
  <c r="S19" i="24"/>
  <c r="T19" i="24" s="1"/>
  <c r="Q19" i="24"/>
  <c r="R19" i="24" s="1"/>
  <c r="N19" i="24"/>
  <c r="O19" i="24" s="1"/>
  <c r="V68" i="22" s="1"/>
  <c r="M19" i="24"/>
  <c r="U68" i="22" s="1"/>
  <c r="L19" i="24"/>
  <c r="S18" i="24"/>
  <c r="T18" i="24" s="1"/>
  <c r="Q18" i="24"/>
  <c r="R18" i="24" s="1"/>
  <c r="N18" i="24"/>
  <c r="O18" i="24" s="1"/>
  <c r="M18" i="24"/>
  <c r="L18" i="24"/>
  <c r="S17" i="24"/>
  <c r="T17" i="24" s="1"/>
  <c r="Q17" i="24"/>
  <c r="R17" i="24" s="1"/>
  <c r="N17" i="24"/>
  <c r="O17" i="24" s="1"/>
  <c r="L17" i="24"/>
  <c r="M17" i="24" s="1"/>
  <c r="T16" i="24"/>
  <c r="S16" i="24"/>
  <c r="R16" i="24"/>
  <c r="U16" i="24" s="1"/>
  <c r="Q16" i="24"/>
  <c r="N16" i="24"/>
  <c r="O16" i="24" s="1"/>
  <c r="L16" i="24"/>
  <c r="M16" i="24" s="1"/>
  <c r="T15" i="24"/>
  <c r="S15" i="24"/>
  <c r="R15" i="24"/>
  <c r="U15" i="24" s="1"/>
  <c r="Q15" i="24"/>
  <c r="O15" i="24"/>
  <c r="N15" i="24"/>
  <c r="M15" i="24"/>
  <c r="P15" i="24" s="1"/>
  <c r="L15" i="24"/>
  <c r="T14" i="24"/>
  <c r="S14" i="24"/>
  <c r="R14" i="24"/>
  <c r="U14" i="24" s="1"/>
  <c r="Q14" i="24"/>
  <c r="O14" i="24"/>
  <c r="N14" i="24"/>
  <c r="M14" i="24"/>
  <c r="L14" i="24"/>
  <c r="S13" i="24"/>
  <c r="T13" i="24" s="1"/>
  <c r="Q13" i="24"/>
  <c r="R13" i="24" s="1"/>
  <c r="N13" i="24"/>
  <c r="O13" i="24" s="1"/>
  <c r="M13" i="24"/>
  <c r="U11" i="22" s="1"/>
  <c r="L13" i="24"/>
  <c r="T12" i="24"/>
  <c r="S12" i="24"/>
  <c r="R12" i="24"/>
  <c r="U12" i="24" s="1"/>
  <c r="Q12" i="24"/>
  <c r="N12" i="24"/>
  <c r="O12" i="24" s="1"/>
  <c r="L12" i="24"/>
  <c r="M12" i="24" s="1"/>
  <c r="S11" i="24"/>
  <c r="T11" i="24" s="1"/>
  <c r="Q11" i="24"/>
  <c r="R11" i="24" s="1"/>
  <c r="N11" i="24"/>
  <c r="O11" i="24" s="1"/>
  <c r="M11" i="24"/>
  <c r="L11" i="24"/>
  <c r="S10" i="24"/>
  <c r="T10" i="24" s="1"/>
  <c r="Q10" i="24"/>
  <c r="R10" i="24" s="1"/>
  <c r="O10" i="24"/>
  <c r="N10" i="24"/>
  <c r="M10" i="24"/>
  <c r="L10" i="24"/>
  <c r="S9" i="24"/>
  <c r="T9" i="24" s="1"/>
  <c r="Q9" i="24"/>
  <c r="R9" i="24" s="1"/>
  <c r="N9" i="24"/>
  <c r="O9" i="24" s="1"/>
  <c r="M9" i="24"/>
  <c r="L9" i="24"/>
  <c r="S8" i="24"/>
  <c r="T8" i="24" s="1"/>
  <c r="Q8" i="24"/>
  <c r="R8" i="24" s="1"/>
  <c r="N8" i="24"/>
  <c r="O8" i="24" s="1"/>
  <c r="L8" i="24"/>
  <c r="M8" i="24" s="1"/>
  <c r="T7" i="24"/>
  <c r="S7" i="24"/>
  <c r="R7" i="24"/>
  <c r="U7" i="24" s="1"/>
  <c r="Q7" i="24"/>
  <c r="N7" i="24"/>
  <c r="O7" i="24" s="1"/>
  <c r="L7" i="24"/>
  <c r="M7" i="24" s="1"/>
  <c r="T6" i="24"/>
  <c r="S6" i="24"/>
  <c r="R6" i="24"/>
  <c r="U6" i="24" s="1"/>
  <c r="Q6" i="24"/>
  <c r="O6" i="24"/>
  <c r="N6" i="24"/>
  <c r="M6" i="24"/>
  <c r="P6" i="24" s="1"/>
  <c r="L6" i="24"/>
  <c r="W6" i="15"/>
  <c r="V6" i="15" s="1"/>
  <c r="Y6" i="15"/>
  <c r="W7" i="15"/>
  <c r="V7" i="15" s="1"/>
  <c r="Y7" i="15"/>
  <c r="W8" i="15"/>
  <c r="V8" i="15" s="1"/>
  <c r="Y8" i="15"/>
  <c r="W9" i="15"/>
  <c r="V9" i="15" s="1"/>
  <c r="Y9" i="15"/>
  <c r="W10" i="15"/>
  <c r="V10" i="15" s="1"/>
  <c r="Y10" i="15"/>
  <c r="W11" i="15"/>
  <c r="V11" i="15" s="1"/>
  <c r="Y11" i="15"/>
  <c r="W12" i="15"/>
  <c r="V12" i="15" s="1"/>
  <c r="Y12" i="15"/>
  <c r="W13" i="15"/>
  <c r="V13" i="15" s="1"/>
  <c r="Y13" i="15"/>
  <c r="W14" i="15"/>
  <c r="V14" i="15" s="1"/>
  <c r="Y14" i="15"/>
  <c r="W15" i="15"/>
  <c r="V15" i="15" s="1"/>
  <c r="Y15" i="15"/>
  <c r="W16" i="15"/>
  <c r="V16" i="15" s="1"/>
  <c r="Y16" i="15"/>
  <c r="W17" i="15"/>
  <c r="V17" i="15" s="1"/>
  <c r="Y17" i="15"/>
  <c r="W18" i="15"/>
  <c r="V18" i="15" s="1"/>
  <c r="Y18" i="15"/>
  <c r="W19" i="15"/>
  <c r="V19" i="15" s="1"/>
  <c r="Y19" i="15"/>
  <c r="B56" i="10"/>
  <c r="N116" i="8"/>
  <c r="M116" i="8"/>
  <c r="N115" i="8"/>
  <c r="N114" i="8"/>
  <c r="N113" i="8"/>
  <c r="N112" i="8"/>
  <c r="N106" i="8"/>
  <c r="M106" i="8"/>
  <c r="N105" i="8"/>
  <c r="N104" i="8"/>
  <c r="N103" i="8"/>
  <c r="N102" i="8"/>
  <c r="N96" i="8"/>
  <c r="M96" i="8"/>
  <c r="N95" i="8"/>
  <c r="N94" i="8"/>
  <c r="N93" i="8"/>
  <c r="N92" i="8"/>
  <c r="N86" i="8"/>
  <c r="M86" i="8"/>
  <c r="N85" i="8"/>
  <c r="N84" i="8"/>
  <c r="N83" i="8"/>
  <c r="N82" i="8"/>
  <c r="N75" i="8"/>
  <c r="M75" i="8"/>
  <c r="N74" i="8"/>
  <c r="N73" i="8"/>
  <c r="N72" i="8"/>
  <c r="N71" i="8"/>
  <c r="N64" i="8"/>
  <c r="M64" i="8"/>
  <c r="N63" i="8"/>
  <c r="N62" i="8"/>
  <c r="N61" i="8"/>
  <c r="N60" i="8"/>
  <c r="N53" i="8"/>
  <c r="M53" i="8"/>
  <c r="N52" i="8"/>
  <c r="N51" i="8"/>
  <c r="N50" i="8"/>
  <c r="N49" i="8"/>
  <c r="N42" i="8"/>
  <c r="M42" i="8"/>
  <c r="N41" i="8"/>
  <c r="N40" i="8"/>
  <c r="N39" i="8"/>
  <c r="N38" i="8"/>
  <c r="N31" i="8"/>
  <c r="M31" i="8"/>
  <c r="N30" i="8"/>
  <c r="N29" i="8"/>
  <c r="N28" i="8"/>
  <c r="N27" i="8"/>
  <c r="N20" i="8"/>
  <c r="M20" i="8"/>
  <c r="N19" i="8"/>
  <c r="N18" i="8"/>
  <c r="N17" i="8"/>
  <c r="N16" i="8"/>
  <c r="N9" i="8"/>
  <c r="M9" i="8"/>
  <c r="N8" i="8"/>
  <c r="N7" i="8"/>
  <c r="N6" i="8"/>
  <c r="N5" i="8"/>
  <c r="J8" i="7"/>
  <c r="J7" i="7"/>
  <c r="J6" i="7"/>
  <c r="J5" i="7"/>
  <c r="J4" i="7"/>
  <c r="J3" i="7"/>
  <c r="J67" i="13"/>
  <c r="L67" i="13" s="1"/>
  <c r="M67" i="13" s="1"/>
  <c r="J66" i="13"/>
  <c r="L66" i="13" s="1"/>
  <c r="M66" i="13" s="1"/>
  <c r="G332" i="22" s="1"/>
  <c r="J65" i="13"/>
  <c r="L65" i="13" s="1"/>
  <c r="M65" i="13" s="1"/>
  <c r="Q61" i="13"/>
  <c r="R61" i="13" s="1"/>
  <c r="L61" i="13"/>
  <c r="S61" i="13" s="1"/>
  <c r="T61" i="13" s="1"/>
  <c r="Q60" i="13"/>
  <c r="R60" i="13" s="1"/>
  <c r="L60" i="13"/>
  <c r="S60" i="13" s="1"/>
  <c r="T60" i="13" s="1"/>
  <c r="Q59" i="13"/>
  <c r="R59" i="13" s="1"/>
  <c r="F319" i="22" s="1"/>
  <c r="L59" i="13"/>
  <c r="S59" i="13" s="1"/>
  <c r="T59" i="13" s="1"/>
  <c r="G319" i="22" s="1"/>
  <c r="Q58" i="13"/>
  <c r="R58" i="13" s="1"/>
  <c r="L58" i="13"/>
  <c r="S58" i="13" s="1"/>
  <c r="T58" i="13" s="1"/>
  <c r="Q52" i="13"/>
  <c r="S52" i="13" s="1"/>
  <c r="T52" i="13" s="1"/>
  <c r="L52" i="13"/>
  <c r="N52" i="13" s="1"/>
  <c r="O52" i="13" s="1"/>
  <c r="Q51" i="13"/>
  <c r="S51" i="13" s="1"/>
  <c r="T51" i="13" s="1"/>
  <c r="G379" i="22" s="1"/>
  <c r="L51" i="13"/>
  <c r="N51" i="13" s="1"/>
  <c r="O51" i="13" s="1"/>
  <c r="Q50" i="13"/>
  <c r="S50" i="13" s="1"/>
  <c r="T50" i="13" s="1"/>
  <c r="L50" i="13"/>
  <c r="N50" i="13" s="1"/>
  <c r="O50" i="13" s="1"/>
  <c r="Q45" i="13"/>
  <c r="S45" i="13" s="1"/>
  <c r="T45" i="13" s="1"/>
  <c r="L45" i="13"/>
  <c r="N45" i="13" s="1"/>
  <c r="O45" i="13" s="1"/>
  <c r="T44" i="13"/>
  <c r="R44" i="13"/>
  <c r="U44" i="13" s="1"/>
  <c r="Q44" i="13"/>
  <c r="S44" i="13" s="1"/>
  <c r="O44" i="13"/>
  <c r="M44" i="13"/>
  <c r="P44" i="13" s="1"/>
  <c r="L44" i="13"/>
  <c r="N44" i="13" s="1"/>
  <c r="Q43" i="13"/>
  <c r="R43" i="13" s="1"/>
  <c r="L43" i="13"/>
  <c r="N43" i="13" s="1"/>
  <c r="O43" i="13" s="1"/>
  <c r="Q42" i="13"/>
  <c r="R42" i="13" s="1"/>
  <c r="L42" i="13"/>
  <c r="N42" i="13" s="1"/>
  <c r="O42" i="13" s="1"/>
  <c r="Q41" i="13"/>
  <c r="S41" i="13" s="1"/>
  <c r="T41" i="13" s="1"/>
  <c r="L41" i="13"/>
  <c r="N41" i="13" s="1"/>
  <c r="O41" i="13" s="1"/>
  <c r="S30" i="13"/>
  <c r="T30" i="13" s="1"/>
  <c r="G376" i="22" s="1"/>
  <c r="Q30" i="13"/>
  <c r="R30" i="13" s="1"/>
  <c r="F129" i="22" s="1"/>
  <c r="N30" i="13"/>
  <c r="O30" i="13" s="1"/>
  <c r="L30" i="13"/>
  <c r="M30" i="13" s="1"/>
  <c r="F26" i="22" s="1"/>
  <c r="T29" i="13"/>
  <c r="S29" i="13"/>
  <c r="R29" i="13"/>
  <c r="U29" i="13" s="1"/>
  <c r="Q29" i="13"/>
  <c r="N29" i="13"/>
  <c r="O29" i="13" s="1"/>
  <c r="L29" i="13"/>
  <c r="M29" i="13" s="1"/>
  <c r="S28" i="13"/>
  <c r="T28" i="13" s="1"/>
  <c r="Q28" i="13"/>
  <c r="R28" i="13" s="1"/>
  <c r="N28" i="13"/>
  <c r="O28" i="13" s="1"/>
  <c r="G76" i="22" s="1"/>
  <c r="L28" i="13"/>
  <c r="M28" i="13" s="1"/>
  <c r="F76" i="22" s="1"/>
  <c r="T27" i="13"/>
  <c r="S27" i="13"/>
  <c r="R27" i="13"/>
  <c r="U27" i="13" s="1"/>
  <c r="Q27" i="13"/>
  <c r="O27" i="13"/>
  <c r="N27" i="13"/>
  <c r="M27" i="13"/>
  <c r="P27" i="13" s="1"/>
  <c r="L27" i="13"/>
  <c r="S26" i="13"/>
  <c r="T26" i="13" s="1"/>
  <c r="G127" i="22" s="1"/>
  <c r="Q26" i="13"/>
  <c r="R26" i="13" s="1"/>
  <c r="N26" i="13"/>
  <c r="O26" i="13" s="1"/>
  <c r="G23" i="22" s="1"/>
  <c r="L26" i="13"/>
  <c r="M26" i="13" s="1"/>
  <c r="F23" i="22" s="1"/>
  <c r="S25" i="13"/>
  <c r="T25" i="13" s="1"/>
  <c r="Q25" i="13"/>
  <c r="R25" i="13" s="1"/>
  <c r="N25" i="13"/>
  <c r="O25" i="13" s="1"/>
  <c r="L25" i="13"/>
  <c r="M25" i="13" s="1"/>
  <c r="F22" i="22" s="1"/>
  <c r="S24" i="13"/>
  <c r="T24" i="13" s="1"/>
  <c r="G174" i="22" s="1"/>
  <c r="Q24" i="13"/>
  <c r="R24" i="13" s="1"/>
  <c r="N24" i="13"/>
  <c r="O24" i="13" s="1"/>
  <c r="G73" i="22" s="1"/>
  <c r="L24" i="13"/>
  <c r="M24" i="13" s="1"/>
  <c r="S23" i="13"/>
  <c r="T23" i="13" s="1"/>
  <c r="Q23" i="13"/>
  <c r="R23" i="13" s="1"/>
  <c r="N23" i="13"/>
  <c r="O23" i="13" s="1"/>
  <c r="L23" i="13"/>
  <c r="M23" i="13" s="1"/>
  <c r="F72" i="22" s="1"/>
  <c r="S22" i="13"/>
  <c r="T22" i="13" s="1"/>
  <c r="G123" i="22" s="1"/>
  <c r="Q22" i="13"/>
  <c r="R22" i="13" s="1"/>
  <c r="N22" i="13"/>
  <c r="O22" i="13" s="1"/>
  <c r="G71" i="22" s="1"/>
  <c r="L22" i="13"/>
  <c r="M22" i="13" s="1"/>
  <c r="F71" i="22" s="1"/>
  <c r="S21" i="13"/>
  <c r="T21" i="13" s="1"/>
  <c r="Q21" i="13"/>
  <c r="R21" i="13" s="1"/>
  <c r="N21" i="13"/>
  <c r="O21" i="13" s="1"/>
  <c r="L21" i="13"/>
  <c r="M21" i="13" s="1"/>
  <c r="F70" i="22" s="1"/>
  <c r="S20" i="13"/>
  <c r="T20" i="13" s="1"/>
  <c r="Q20" i="13"/>
  <c r="R20" i="13" s="1"/>
  <c r="N20" i="13"/>
  <c r="O20" i="13" s="1"/>
  <c r="L20" i="13"/>
  <c r="M20" i="13" s="1"/>
  <c r="F69" i="22" s="1"/>
  <c r="S19" i="13"/>
  <c r="T19" i="13" s="1"/>
  <c r="Q19" i="13"/>
  <c r="R19" i="13" s="1"/>
  <c r="N19" i="13"/>
  <c r="O19" i="13" s="1"/>
  <c r="G68" i="22" s="1"/>
  <c r="L19" i="13"/>
  <c r="M19" i="13" s="1"/>
  <c r="F68" i="22" s="1"/>
  <c r="S18" i="13"/>
  <c r="T18" i="13" s="1"/>
  <c r="G122" i="22" s="1"/>
  <c r="Q18" i="13"/>
  <c r="R18" i="13" s="1"/>
  <c r="N18" i="13"/>
  <c r="O18" i="13" s="1"/>
  <c r="G15" i="22" s="1"/>
  <c r="L18" i="13"/>
  <c r="M18" i="13" s="1"/>
  <c r="F15" i="22" s="1"/>
  <c r="S17" i="13"/>
  <c r="T17" i="13" s="1"/>
  <c r="Q17" i="13"/>
  <c r="R17" i="13" s="1"/>
  <c r="F170" i="22" s="1"/>
  <c r="N17" i="13"/>
  <c r="O17" i="13" s="1"/>
  <c r="G14" i="22" s="1"/>
  <c r="L17" i="13"/>
  <c r="M17" i="13" s="1"/>
  <c r="F14" i="22" s="1"/>
  <c r="S16" i="13"/>
  <c r="T16" i="13" s="1"/>
  <c r="G169" i="22" s="1"/>
  <c r="Q16" i="13"/>
  <c r="R16" i="13" s="1"/>
  <c r="N16" i="13"/>
  <c r="O16" i="13" s="1"/>
  <c r="G65" i="22" s="1"/>
  <c r="L16" i="13"/>
  <c r="M16" i="13" s="1"/>
  <c r="F13" i="22" s="1"/>
  <c r="S15" i="13"/>
  <c r="T15" i="13" s="1"/>
  <c r="Q15" i="13"/>
  <c r="R15" i="13" s="1"/>
  <c r="N15" i="13"/>
  <c r="O15" i="13" s="1"/>
  <c r="L15" i="13"/>
  <c r="M15" i="13" s="1"/>
  <c r="F64" i="22" s="1"/>
  <c r="S14" i="13"/>
  <c r="T14" i="13" s="1"/>
  <c r="G118" i="22" s="1"/>
  <c r="Q14" i="13"/>
  <c r="R14" i="13" s="1"/>
  <c r="N14" i="13"/>
  <c r="O14" i="13" s="1"/>
  <c r="G63" i="22" s="1"/>
  <c r="L14" i="13"/>
  <c r="M14" i="13" s="1"/>
  <c r="F63" i="22" s="1"/>
  <c r="S13" i="13"/>
  <c r="T13" i="13" s="1"/>
  <c r="Q13" i="13"/>
  <c r="R13" i="13" s="1"/>
  <c r="N13" i="13"/>
  <c r="O13" i="13" s="1"/>
  <c r="L13" i="13"/>
  <c r="M13" i="13" s="1"/>
  <c r="F62" i="22" s="1"/>
  <c r="S12" i="13"/>
  <c r="T12" i="13" s="1"/>
  <c r="Q12" i="13"/>
  <c r="R12" i="13" s="1"/>
  <c r="N12" i="13"/>
  <c r="O12" i="13" s="1"/>
  <c r="G61" i="22" s="1"/>
  <c r="L12" i="13"/>
  <c r="M12" i="13" s="1"/>
  <c r="S11" i="13"/>
  <c r="T11" i="13" s="1"/>
  <c r="Q11" i="13"/>
  <c r="R11" i="13" s="1"/>
  <c r="N11" i="13"/>
  <c r="O11" i="13" s="1"/>
  <c r="L11" i="13"/>
  <c r="M11" i="13" s="1"/>
  <c r="T10" i="13"/>
  <c r="S10" i="13"/>
  <c r="R10" i="13"/>
  <c r="U10" i="13" s="1"/>
  <c r="Q10" i="13"/>
  <c r="N10" i="13"/>
  <c r="O10" i="13" s="1"/>
  <c r="L10" i="13"/>
  <c r="M10" i="13" s="1"/>
  <c r="F8" i="22" s="1"/>
  <c r="S9" i="13"/>
  <c r="T9" i="13" s="1"/>
  <c r="G116" i="22" s="1"/>
  <c r="Q9" i="13"/>
  <c r="R9" i="13" s="1"/>
  <c r="F165" i="22" s="1"/>
  <c r="N9" i="13"/>
  <c r="O9" i="13" s="1"/>
  <c r="G59" i="22" s="1"/>
  <c r="L9" i="13"/>
  <c r="M9" i="13" s="1"/>
  <c r="S8" i="13"/>
  <c r="T8" i="13" s="1"/>
  <c r="Q8" i="13"/>
  <c r="R8" i="13" s="1"/>
  <c r="N8" i="13"/>
  <c r="O8" i="13" s="1"/>
  <c r="L8" i="13"/>
  <c r="M8" i="13" s="1"/>
  <c r="F6" i="22" s="1"/>
  <c r="S7" i="13"/>
  <c r="T7" i="13" s="1"/>
  <c r="Q7" i="13"/>
  <c r="R7" i="13" s="1"/>
  <c r="N7" i="13"/>
  <c r="O7" i="13" s="1"/>
  <c r="L7" i="13"/>
  <c r="M7" i="13" s="1"/>
  <c r="S6" i="13"/>
  <c r="T6" i="13" s="1"/>
  <c r="Q6" i="13"/>
  <c r="R6" i="13" s="1"/>
  <c r="N6" i="13"/>
  <c r="O6" i="13" s="1"/>
  <c r="L6" i="13"/>
  <c r="M6" i="13" s="1"/>
  <c r="J67" i="19"/>
  <c r="L67" i="19" s="1"/>
  <c r="M67" i="19" s="1"/>
  <c r="J66" i="19"/>
  <c r="T62" i="19"/>
  <c r="R62" i="19"/>
  <c r="Q62" i="19"/>
  <c r="S62" i="19" s="1"/>
  <c r="O62" i="19"/>
  <c r="M62" i="19"/>
  <c r="P62" i="19" s="1"/>
  <c r="L62" i="19"/>
  <c r="N62" i="19" s="1"/>
  <c r="Q61" i="19"/>
  <c r="S61" i="19" s="1"/>
  <c r="T61" i="19" s="1"/>
  <c r="L61" i="19"/>
  <c r="Q60" i="19"/>
  <c r="S60" i="19" s="1"/>
  <c r="T60" i="19" s="1"/>
  <c r="L60" i="19"/>
  <c r="T59" i="19"/>
  <c r="R59" i="19"/>
  <c r="Q59" i="19"/>
  <c r="S59" i="19" s="1"/>
  <c r="L59" i="19"/>
  <c r="T54" i="19"/>
  <c r="R54" i="19"/>
  <c r="U54" i="19" s="1"/>
  <c r="Q54" i="19"/>
  <c r="S54" i="19" s="1"/>
  <c r="O54" i="19"/>
  <c r="M54" i="19"/>
  <c r="P54" i="19" s="1"/>
  <c r="L54" i="19"/>
  <c r="N54" i="19" s="1"/>
  <c r="T53" i="19"/>
  <c r="R53" i="19"/>
  <c r="U53" i="19" s="1"/>
  <c r="Q53" i="19"/>
  <c r="S53" i="19" s="1"/>
  <c r="O53" i="19"/>
  <c r="M53" i="19"/>
  <c r="P53" i="19" s="1"/>
  <c r="L53" i="19"/>
  <c r="N53" i="19" s="1"/>
  <c r="Q52" i="19"/>
  <c r="S52" i="19" s="1"/>
  <c r="T52" i="19" s="1"/>
  <c r="L52" i="19"/>
  <c r="Q51" i="19"/>
  <c r="S51" i="19" s="1"/>
  <c r="T51" i="19" s="1"/>
  <c r="L51" i="19"/>
  <c r="T50" i="19"/>
  <c r="R50" i="19"/>
  <c r="U50" i="19" s="1"/>
  <c r="Q50" i="19"/>
  <c r="S50" i="19" s="1"/>
  <c r="L50" i="19"/>
  <c r="T45" i="19"/>
  <c r="R45" i="19"/>
  <c r="U45" i="19" s="1"/>
  <c r="Q45" i="19"/>
  <c r="S45" i="19" s="1"/>
  <c r="O45" i="19"/>
  <c r="M45" i="19"/>
  <c r="P45" i="19" s="1"/>
  <c r="L45" i="19"/>
  <c r="N45" i="19" s="1"/>
  <c r="T44" i="19"/>
  <c r="R44" i="19"/>
  <c r="U44" i="19" s="1"/>
  <c r="Q44" i="19"/>
  <c r="S44" i="19" s="1"/>
  <c r="O44" i="19"/>
  <c r="M44" i="19"/>
  <c r="P44" i="19" s="1"/>
  <c r="L44" i="19"/>
  <c r="N44" i="19" s="1"/>
  <c r="Q43" i="19"/>
  <c r="S43" i="19" s="1"/>
  <c r="T43" i="19" s="1"/>
  <c r="L43" i="19"/>
  <c r="T42" i="19"/>
  <c r="R42" i="19"/>
  <c r="U42" i="19" s="1"/>
  <c r="Q42" i="19"/>
  <c r="S42" i="19" s="1"/>
  <c r="L42" i="19"/>
  <c r="Q41" i="19"/>
  <c r="S41" i="19" s="1"/>
  <c r="T41" i="19" s="1"/>
  <c r="L41" i="19"/>
  <c r="S36" i="19"/>
  <c r="T36" i="19" s="1"/>
  <c r="Q36" i="19"/>
  <c r="R36" i="19" s="1"/>
  <c r="U36" i="19" s="1"/>
  <c r="O36" i="19"/>
  <c r="N36" i="19"/>
  <c r="L36" i="19"/>
  <c r="M36" i="19" s="1"/>
  <c r="P36" i="19" s="1"/>
  <c r="S35" i="19"/>
  <c r="T35" i="19" s="1"/>
  <c r="P379" i="22" s="1"/>
  <c r="Q35" i="19"/>
  <c r="R35" i="19" s="1"/>
  <c r="U35" i="19" s="1"/>
  <c r="O35" i="19"/>
  <c r="N35" i="19"/>
  <c r="M35" i="19"/>
  <c r="P35" i="19" s="1"/>
  <c r="L35" i="19"/>
  <c r="T34" i="19"/>
  <c r="S34" i="19"/>
  <c r="R34" i="19"/>
  <c r="U34" i="19" s="1"/>
  <c r="Q34" i="19"/>
  <c r="O34" i="19"/>
  <c r="N34" i="19"/>
  <c r="M34" i="19"/>
  <c r="P34" i="19" s="1"/>
  <c r="L34" i="19"/>
  <c r="S33" i="19"/>
  <c r="T33" i="19" s="1"/>
  <c r="Q33" i="19"/>
  <c r="R33" i="19" s="1"/>
  <c r="U33" i="19" s="1"/>
  <c r="O33" i="19"/>
  <c r="N33" i="19"/>
  <c r="M33" i="19"/>
  <c r="P33" i="19" s="1"/>
  <c r="L33" i="19"/>
  <c r="S32" i="19"/>
  <c r="T32" i="19" s="1"/>
  <c r="Q32" i="19"/>
  <c r="R32" i="19" s="1"/>
  <c r="U32" i="19" s="1"/>
  <c r="O32" i="19"/>
  <c r="N32" i="19"/>
  <c r="L32" i="19"/>
  <c r="M32" i="19" s="1"/>
  <c r="P32" i="19" s="1"/>
  <c r="S31" i="19"/>
  <c r="T31" i="19" s="1"/>
  <c r="Q31" i="19"/>
  <c r="R31" i="19" s="1"/>
  <c r="U31" i="19" s="1"/>
  <c r="O31" i="19"/>
  <c r="N31" i="19"/>
  <c r="M31" i="19"/>
  <c r="L31" i="19"/>
  <c r="T30" i="19"/>
  <c r="S30" i="19"/>
  <c r="R30" i="19"/>
  <c r="U30" i="19" s="1"/>
  <c r="Q30" i="19"/>
  <c r="O30" i="19"/>
  <c r="N30" i="19"/>
  <c r="M30" i="19"/>
  <c r="P30" i="19" s="1"/>
  <c r="L30" i="19"/>
  <c r="S29" i="19"/>
  <c r="T29" i="19" s="1"/>
  <c r="Q29" i="19"/>
  <c r="R29" i="19" s="1"/>
  <c r="U29" i="19" s="1"/>
  <c r="O29" i="19"/>
  <c r="N29" i="19"/>
  <c r="L29" i="19"/>
  <c r="M29" i="19" s="1"/>
  <c r="P29" i="19" s="1"/>
  <c r="T28" i="19"/>
  <c r="S28" i="19"/>
  <c r="R28" i="19"/>
  <c r="U28" i="19" s="1"/>
  <c r="Q28" i="19"/>
  <c r="O28" i="19"/>
  <c r="N28" i="19"/>
  <c r="L28" i="19"/>
  <c r="M28" i="19" s="1"/>
  <c r="P28" i="19" s="1"/>
  <c r="S27" i="19"/>
  <c r="T27" i="19" s="1"/>
  <c r="Q27" i="19"/>
  <c r="R27" i="19" s="1"/>
  <c r="U27" i="19" s="1"/>
  <c r="O27" i="19"/>
  <c r="N27" i="19"/>
  <c r="L27" i="19"/>
  <c r="M27" i="19" s="1"/>
  <c r="P27" i="19" s="1"/>
  <c r="S26" i="19"/>
  <c r="T26" i="19" s="1"/>
  <c r="Q26" i="19"/>
  <c r="R26" i="19" s="1"/>
  <c r="O26" i="19"/>
  <c r="P75" i="22" s="1"/>
  <c r="N26" i="19"/>
  <c r="L26" i="19"/>
  <c r="M26" i="19" s="1"/>
  <c r="O75" i="22" s="1"/>
  <c r="T25" i="19"/>
  <c r="S25" i="19"/>
  <c r="R25" i="19"/>
  <c r="U25" i="19" s="1"/>
  <c r="Q25" i="19"/>
  <c r="O25" i="19"/>
  <c r="N25" i="19"/>
  <c r="M25" i="19"/>
  <c r="P25" i="19" s="1"/>
  <c r="L25" i="19"/>
  <c r="S24" i="19"/>
  <c r="T24" i="19" s="1"/>
  <c r="Q24" i="19"/>
  <c r="R24" i="19" s="1"/>
  <c r="O24" i="19"/>
  <c r="N24" i="19"/>
  <c r="L24" i="19"/>
  <c r="M24" i="19" s="1"/>
  <c r="T23" i="19"/>
  <c r="S23" i="19"/>
  <c r="R23" i="19"/>
  <c r="U23" i="19" s="1"/>
  <c r="Q23" i="19"/>
  <c r="O23" i="19"/>
  <c r="N23" i="19"/>
  <c r="M23" i="19"/>
  <c r="P23" i="19" s="1"/>
  <c r="L23" i="19"/>
  <c r="T22" i="19"/>
  <c r="S22" i="19"/>
  <c r="R22" i="19"/>
  <c r="U22" i="19" s="1"/>
  <c r="Q22" i="19"/>
  <c r="O22" i="19"/>
  <c r="N22" i="19"/>
  <c r="L22" i="19"/>
  <c r="M22" i="19" s="1"/>
  <c r="T21" i="19"/>
  <c r="S21" i="19"/>
  <c r="R21" i="19"/>
  <c r="U21" i="19" s="1"/>
  <c r="Q21" i="19"/>
  <c r="O21" i="19"/>
  <c r="N21" i="19"/>
  <c r="M21" i="19"/>
  <c r="P21" i="19" s="1"/>
  <c r="L21" i="19"/>
  <c r="S20" i="19"/>
  <c r="T20" i="19" s="1"/>
  <c r="Q20" i="19"/>
  <c r="R20" i="19" s="1"/>
  <c r="O20" i="19"/>
  <c r="N20" i="19"/>
  <c r="L20" i="19"/>
  <c r="M20" i="19" s="1"/>
  <c r="S19" i="19"/>
  <c r="T19" i="19" s="1"/>
  <c r="Q19" i="19"/>
  <c r="R19" i="19" s="1"/>
  <c r="O19" i="19"/>
  <c r="N19" i="19"/>
  <c r="L19" i="19"/>
  <c r="M19" i="19" s="1"/>
  <c r="S18" i="19"/>
  <c r="T18" i="19" s="1"/>
  <c r="Q18" i="19"/>
  <c r="R18" i="19" s="1"/>
  <c r="O18" i="19"/>
  <c r="N18" i="19"/>
  <c r="L18" i="19"/>
  <c r="M18" i="19" s="1"/>
  <c r="S17" i="19"/>
  <c r="T17" i="19" s="1"/>
  <c r="Q17" i="19"/>
  <c r="R17" i="19" s="1"/>
  <c r="O17" i="19"/>
  <c r="N17" i="19"/>
  <c r="L17" i="19"/>
  <c r="M17" i="19" s="1"/>
  <c r="S16" i="19"/>
  <c r="T16" i="19" s="1"/>
  <c r="Q16" i="19"/>
  <c r="R16" i="19" s="1"/>
  <c r="O16" i="19"/>
  <c r="N16" i="19"/>
  <c r="L16" i="19"/>
  <c r="M16" i="19" s="1"/>
  <c r="S15" i="19"/>
  <c r="T15" i="19" s="1"/>
  <c r="Q15" i="19"/>
  <c r="R15" i="19" s="1"/>
  <c r="O15" i="19"/>
  <c r="N15" i="19"/>
  <c r="L15" i="19"/>
  <c r="M15" i="19" s="1"/>
  <c r="O68" i="22" s="1"/>
  <c r="T14" i="19"/>
  <c r="S14" i="19"/>
  <c r="R14" i="19"/>
  <c r="U14" i="19" s="1"/>
  <c r="Q14" i="19"/>
  <c r="O14" i="19"/>
  <c r="N14" i="19"/>
  <c r="L14" i="19"/>
  <c r="M14" i="19" s="1"/>
  <c r="O63" i="22" s="1"/>
  <c r="S13" i="19"/>
  <c r="T13" i="19" s="1"/>
  <c r="Q13" i="19"/>
  <c r="R13" i="19" s="1"/>
  <c r="O13" i="19"/>
  <c r="N13" i="19"/>
  <c r="L13" i="19"/>
  <c r="M13" i="19" s="1"/>
  <c r="O62" i="22" s="1"/>
  <c r="AA12" i="19"/>
  <c r="T12" i="19"/>
  <c r="S12" i="19"/>
  <c r="R12" i="19"/>
  <c r="U12" i="19" s="1"/>
  <c r="Q12" i="19"/>
  <c r="N12" i="19"/>
  <c r="O12" i="19" s="1"/>
  <c r="M12" i="19"/>
  <c r="P12" i="19" s="1"/>
  <c r="L12" i="19"/>
  <c r="T11" i="19"/>
  <c r="S11" i="19"/>
  <c r="Q11" i="19"/>
  <c r="R11" i="19" s="1"/>
  <c r="N11" i="19"/>
  <c r="O11" i="19" s="1"/>
  <c r="M11" i="19"/>
  <c r="L11" i="19"/>
  <c r="T10" i="19"/>
  <c r="S10" i="19"/>
  <c r="Q10" i="19"/>
  <c r="R10" i="19" s="1"/>
  <c r="N10" i="19"/>
  <c r="O10" i="19" s="1"/>
  <c r="M10" i="19"/>
  <c r="L10" i="19"/>
  <c r="T9" i="19"/>
  <c r="S9" i="19"/>
  <c r="Q9" i="19"/>
  <c r="R9" i="19" s="1"/>
  <c r="N9" i="19"/>
  <c r="O9" i="19" s="1"/>
  <c r="M9" i="19"/>
  <c r="P9" i="19" s="1"/>
  <c r="L9" i="19"/>
  <c r="T8" i="19"/>
  <c r="S8" i="19"/>
  <c r="Q8" i="19"/>
  <c r="R8" i="19" s="1"/>
  <c r="N8" i="19"/>
  <c r="O8" i="19" s="1"/>
  <c r="M8" i="19"/>
  <c r="P8" i="19" s="1"/>
  <c r="L8" i="19"/>
  <c r="T7" i="19"/>
  <c r="P115" i="22" s="1"/>
  <c r="S7" i="19"/>
  <c r="Q7" i="19"/>
  <c r="R7" i="19" s="1"/>
  <c r="N7" i="19"/>
  <c r="O7" i="19" s="1"/>
  <c r="M7" i="19"/>
  <c r="L7" i="19"/>
  <c r="T6" i="19"/>
  <c r="S6" i="19"/>
  <c r="R6" i="19"/>
  <c r="U6" i="19" s="1"/>
  <c r="Q6" i="19"/>
  <c r="N6" i="19"/>
  <c r="O6" i="19" s="1"/>
  <c r="M6" i="19"/>
  <c r="P6" i="19" s="1"/>
  <c r="L6" i="19"/>
  <c r="J52" i="21"/>
  <c r="L51" i="21"/>
  <c r="M51" i="21" s="1"/>
  <c r="K51" i="21"/>
  <c r="J51" i="21"/>
  <c r="T47" i="21"/>
  <c r="R47" i="21"/>
  <c r="Q47" i="21"/>
  <c r="S47" i="21" s="1"/>
  <c r="O47" i="21"/>
  <c r="N47" i="21"/>
  <c r="M47" i="21"/>
  <c r="U47" i="21" s="1"/>
  <c r="L47" i="21"/>
  <c r="Q46" i="21"/>
  <c r="N46" i="21"/>
  <c r="O46" i="21" s="1"/>
  <c r="M46" i="21"/>
  <c r="L46" i="21"/>
  <c r="Q45" i="21"/>
  <c r="N45" i="21"/>
  <c r="O45" i="21" s="1"/>
  <c r="M45" i="21"/>
  <c r="U45" i="21" s="1"/>
  <c r="L45" i="21"/>
  <c r="Q44" i="21"/>
  <c r="N44" i="21"/>
  <c r="O44" i="21" s="1"/>
  <c r="M44" i="21"/>
  <c r="L44" i="21"/>
  <c r="Q40" i="21"/>
  <c r="N40" i="21"/>
  <c r="O40" i="21" s="1"/>
  <c r="M40" i="21"/>
  <c r="L40" i="21"/>
  <c r="Q39" i="21"/>
  <c r="N39" i="21"/>
  <c r="O39" i="21" s="1"/>
  <c r="M39" i="21"/>
  <c r="L39" i="21"/>
  <c r="T38" i="21"/>
  <c r="R38" i="21"/>
  <c r="U38" i="21" s="1"/>
  <c r="Q38" i="21"/>
  <c r="S38" i="21" s="1"/>
  <c r="N38" i="21"/>
  <c r="O38" i="21" s="1"/>
  <c r="M38" i="21"/>
  <c r="P38" i="21" s="1"/>
  <c r="L38" i="21"/>
  <c r="T35" i="21"/>
  <c r="R35" i="21"/>
  <c r="U35" i="21" s="1"/>
  <c r="Q35" i="21"/>
  <c r="S35" i="21" s="1"/>
  <c r="O35" i="21"/>
  <c r="N35" i="21"/>
  <c r="M35" i="21"/>
  <c r="P35" i="21" s="1"/>
  <c r="L35" i="21"/>
  <c r="Q34" i="21"/>
  <c r="N34" i="21"/>
  <c r="O34" i="21" s="1"/>
  <c r="M34" i="21"/>
  <c r="P34" i="21" s="1"/>
  <c r="L34" i="21"/>
  <c r="T33" i="21"/>
  <c r="R33" i="21"/>
  <c r="U33" i="21" s="1"/>
  <c r="Q33" i="21"/>
  <c r="S33" i="21" s="1"/>
  <c r="N33" i="21"/>
  <c r="O33" i="21" s="1"/>
  <c r="M33" i="21"/>
  <c r="P33" i="21" s="1"/>
  <c r="L33" i="21"/>
  <c r="Q32" i="21"/>
  <c r="N32" i="21"/>
  <c r="O32" i="21" s="1"/>
  <c r="M32" i="21"/>
  <c r="L32" i="21"/>
  <c r="T28" i="21"/>
  <c r="S28" i="21"/>
  <c r="R28" i="21"/>
  <c r="U28" i="21" s="1"/>
  <c r="Q28" i="21"/>
  <c r="O28" i="21"/>
  <c r="N28" i="21"/>
  <c r="M28" i="21"/>
  <c r="P28" i="21" s="1"/>
  <c r="L28" i="21"/>
  <c r="T27" i="21"/>
  <c r="S27" i="21"/>
  <c r="Q27" i="21"/>
  <c r="R27" i="21" s="1"/>
  <c r="U27" i="21" s="1"/>
  <c r="N27" i="21"/>
  <c r="O27" i="21" s="1"/>
  <c r="M27" i="21"/>
  <c r="P27" i="21" s="1"/>
  <c r="L27" i="21"/>
  <c r="T26" i="21"/>
  <c r="S26" i="21"/>
  <c r="Q26" i="21"/>
  <c r="R26" i="21" s="1"/>
  <c r="N26" i="21"/>
  <c r="O26" i="21" s="1"/>
  <c r="M26" i="21"/>
  <c r="P26" i="21" s="1"/>
  <c r="L26" i="21"/>
  <c r="T25" i="21"/>
  <c r="S25" i="21"/>
  <c r="R25" i="21"/>
  <c r="U25" i="21" s="1"/>
  <c r="Q25" i="21"/>
  <c r="O25" i="21"/>
  <c r="N25" i="21"/>
  <c r="M25" i="21"/>
  <c r="P25" i="21" s="1"/>
  <c r="L25" i="21"/>
  <c r="T24" i="21"/>
  <c r="S24" i="21"/>
  <c r="Q24" i="21"/>
  <c r="R24" i="21" s="1"/>
  <c r="N24" i="21"/>
  <c r="O24" i="21" s="1"/>
  <c r="M24" i="21"/>
  <c r="L24" i="21"/>
  <c r="T23" i="21"/>
  <c r="S23" i="21"/>
  <c r="Q23" i="21"/>
  <c r="R23" i="21" s="1"/>
  <c r="O23" i="21"/>
  <c r="S17" i="22" s="1"/>
  <c r="N23" i="21"/>
  <c r="M23" i="21"/>
  <c r="L23" i="21"/>
  <c r="T22" i="21"/>
  <c r="S22" i="21"/>
  <c r="R22" i="21"/>
  <c r="U22" i="21" s="1"/>
  <c r="Q22" i="21"/>
  <c r="O22" i="21"/>
  <c r="N22" i="21"/>
  <c r="M22" i="21"/>
  <c r="P22" i="21" s="1"/>
  <c r="L22" i="21"/>
  <c r="T21" i="21"/>
  <c r="S21" i="21"/>
  <c r="R21" i="21"/>
  <c r="U21" i="21" s="1"/>
  <c r="Q21" i="21"/>
  <c r="O21" i="21"/>
  <c r="N21" i="21"/>
  <c r="M21" i="21"/>
  <c r="P21" i="21" s="1"/>
  <c r="L21" i="21"/>
  <c r="T20" i="21"/>
  <c r="S20" i="21"/>
  <c r="Q20" i="21"/>
  <c r="R20" i="21" s="1"/>
  <c r="N20" i="21"/>
  <c r="O20" i="21" s="1"/>
  <c r="M20" i="21"/>
  <c r="L20" i="21"/>
  <c r="T19" i="21"/>
  <c r="S19" i="21"/>
  <c r="Q19" i="21"/>
  <c r="R19" i="21" s="1"/>
  <c r="N19" i="21"/>
  <c r="O19" i="21" s="1"/>
  <c r="M19" i="21"/>
  <c r="L19" i="21"/>
  <c r="T18" i="21"/>
  <c r="S18" i="21"/>
  <c r="Q18" i="21"/>
  <c r="R18" i="21" s="1"/>
  <c r="N18" i="21"/>
  <c r="O18" i="21" s="1"/>
  <c r="M18" i="21"/>
  <c r="P18" i="21" s="1"/>
  <c r="L18" i="21"/>
  <c r="T17" i="21"/>
  <c r="S17" i="21"/>
  <c r="Q17" i="21"/>
  <c r="R17" i="21" s="1"/>
  <c r="N17" i="21"/>
  <c r="O17" i="21" s="1"/>
  <c r="M17" i="21"/>
  <c r="P17" i="21" s="1"/>
  <c r="L17" i="21"/>
  <c r="T16" i="21"/>
  <c r="S168" i="22" s="1"/>
  <c r="S16" i="21"/>
  <c r="R16" i="21"/>
  <c r="Q16" i="21"/>
  <c r="N16" i="21"/>
  <c r="O16" i="21" s="1"/>
  <c r="M16" i="21"/>
  <c r="L16" i="21"/>
  <c r="T15" i="21"/>
  <c r="S15" i="21"/>
  <c r="R15" i="21"/>
  <c r="U15" i="21" s="1"/>
  <c r="Q15" i="21"/>
  <c r="O15" i="21"/>
  <c r="N15" i="21"/>
  <c r="M15" i="21"/>
  <c r="P15" i="21" s="1"/>
  <c r="L15" i="21"/>
  <c r="T14" i="21"/>
  <c r="S14" i="21"/>
  <c r="R14" i="21"/>
  <c r="U14" i="21" s="1"/>
  <c r="Q14" i="21"/>
  <c r="N14" i="21"/>
  <c r="O14" i="21" s="1"/>
  <c r="M14" i="21"/>
  <c r="L14" i="21"/>
  <c r="T13" i="21"/>
  <c r="S13" i="21"/>
  <c r="Q13" i="21"/>
  <c r="R13" i="21" s="1"/>
  <c r="N13" i="21"/>
  <c r="O13" i="21" s="1"/>
  <c r="S11" i="22" s="1"/>
  <c r="M13" i="21"/>
  <c r="L13" i="21"/>
  <c r="T12" i="21"/>
  <c r="S12" i="21"/>
  <c r="R12" i="21"/>
  <c r="U12" i="21" s="1"/>
  <c r="Q12" i="21"/>
  <c r="N12" i="21"/>
  <c r="O12" i="21" s="1"/>
  <c r="M12" i="21"/>
  <c r="P12" i="21" s="1"/>
  <c r="L12" i="21"/>
  <c r="T11" i="21"/>
  <c r="S11" i="21"/>
  <c r="Q11" i="21"/>
  <c r="R11" i="21" s="1"/>
  <c r="N11" i="21"/>
  <c r="O11" i="21" s="1"/>
  <c r="M11" i="21"/>
  <c r="L11" i="21"/>
  <c r="T10" i="21"/>
  <c r="S10" i="21"/>
  <c r="Q10" i="21"/>
  <c r="R10" i="21" s="1"/>
  <c r="N10" i="21"/>
  <c r="O10" i="21" s="1"/>
  <c r="M10" i="21"/>
  <c r="L10" i="21"/>
  <c r="T9" i="21"/>
  <c r="S9" i="21"/>
  <c r="Q9" i="21"/>
  <c r="R9" i="21" s="1"/>
  <c r="N9" i="21"/>
  <c r="O9" i="21" s="1"/>
  <c r="M9" i="21"/>
  <c r="L9" i="21"/>
  <c r="T8" i="21"/>
  <c r="S8" i="21"/>
  <c r="Q8" i="21"/>
  <c r="R8" i="21" s="1"/>
  <c r="N8" i="21"/>
  <c r="O8" i="21" s="1"/>
  <c r="M8" i="21"/>
  <c r="L8" i="21"/>
  <c r="T7" i="21"/>
  <c r="S7" i="21"/>
  <c r="R7" i="21"/>
  <c r="U7" i="21" s="1"/>
  <c r="Q7" i="21"/>
  <c r="N7" i="21"/>
  <c r="O7" i="21" s="1"/>
  <c r="M7" i="21"/>
  <c r="P7" i="21" s="1"/>
  <c r="L7" i="21"/>
  <c r="T6" i="21"/>
  <c r="S6" i="21"/>
  <c r="R6" i="21"/>
  <c r="U6" i="21" s="1"/>
  <c r="Q6" i="21"/>
  <c r="O6" i="21"/>
  <c r="N6" i="21"/>
  <c r="M6" i="21"/>
  <c r="P6" i="21" s="1"/>
  <c r="L6" i="21"/>
  <c r="O318" i="22"/>
  <c r="P305" i="22"/>
  <c r="S276" i="22"/>
  <c r="S248" i="22"/>
  <c r="P248" i="22"/>
  <c r="AB141" i="22"/>
  <c r="AB140" i="22"/>
  <c r="AB139" i="22"/>
  <c r="AB138" i="22"/>
  <c r="AB137" i="22"/>
  <c r="AB136" i="22"/>
  <c r="AB135" i="22"/>
  <c r="E135" i="22" s="1"/>
  <c r="AB134" i="22"/>
  <c r="E134" i="22" s="1"/>
  <c r="AB133" i="22"/>
  <c r="AB132" i="22"/>
  <c r="E132" i="22" s="1"/>
  <c r="AB131" i="22"/>
  <c r="E131" i="22" s="1"/>
  <c r="AB130" i="22"/>
  <c r="E130" i="22" s="1"/>
  <c r="AB129" i="22"/>
  <c r="E129" i="22" s="1"/>
  <c r="AB128" i="22"/>
  <c r="E128" i="22" s="1"/>
  <c r="AC127" i="22"/>
  <c r="AB127" i="22"/>
  <c r="E127" i="22" s="1"/>
  <c r="AB126" i="22"/>
  <c r="E126" i="22" s="1"/>
  <c r="AB125" i="22"/>
  <c r="E125" i="22" s="1"/>
  <c r="AB124" i="22"/>
  <c r="E124" i="22" s="1"/>
  <c r="AB123" i="22"/>
  <c r="E123" i="22" s="1"/>
  <c r="AB122" i="22"/>
  <c r="E122" i="22" s="1"/>
  <c r="AB121" i="22"/>
  <c r="E121" i="22" s="1"/>
  <c r="AB120" i="22"/>
  <c r="E120" i="22" s="1"/>
  <c r="AB119" i="22"/>
  <c r="E119" i="22" s="1"/>
  <c r="AB118" i="22"/>
  <c r="E118" i="22" s="1"/>
  <c r="AB117" i="22"/>
  <c r="E117" i="22" s="1"/>
  <c r="AB116" i="22"/>
  <c r="E116" i="22" s="1"/>
  <c r="AB115" i="22"/>
  <c r="E115" i="22" s="1"/>
  <c r="S115" i="22"/>
  <c r="AB84" i="22"/>
  <c r="AB83" i="22"/>
  <c r="AB82" i="22"/>
  <c r="AB81" i="22"/>
  <c r="E81" i="22" s="1"/>
  <c r="AB80" i="22"/>
  <c r="E80" i="22" s="1"/>
  <c r="AB79" i="22"/>
  <c r="E79" i="22" s="1"/>
  <c r="AB78" i="22"/>
  <c r="AB77" i="22"/>
  <c r="E77" i="22" s="1"/>
  <c r="AB76" i="22"/>
  <c r="E76" i="22" s="1"/>
  <c r="AB75" i="22"/>
  <c r="E75" i="22" s="1"/>
  <c r="AB74" i="22"/>
  <c r="E74" i="22" s="1"/>
  <c r="AB73" i="22"/>
  <c r="E73" i="22" s="1"/>
  <c r="AB72" i="22"/>
  <c r="AB71" i="22"/>
  <c r="E71" i="22" s="1"/>
  <c r="AB70" i="22"/>
  <c r="E70" i="22" s="1"/>
  <c r="AB69" i="22"/>
  <c r="E69" i="22" s="1"/>
  <c r="AB68" i="22"/>
  <c r="E68" i="22" s="1"/>
  <c r="AB67" i="22"/>
  <c r="E67" i="22" s="1"/>
  <c r="AB66" i="22"/>
  <c r="E66" i="22" s="1"/>
  <c r="AB65" i="22"/>
  <c r="E65" i="22" s="1"/>
  <c r="AB64" i="22"/>
  <c r="E64" i="22" s="1"/>
  <c r="AB63" i="22"/>
  <c r="E63" i="22" s="1"/>
  <c r="AB62" i="22"/>
  <c r="E62" i="22" s="1"/>
  <c r="AB61" i="22"/>
  <c r="AB60" i="22"/>
  <c r="E60" i="22" s="1"/>
  <c r="AB59" i="22"/>
  <c r="E59" i="22" s="1"/>
  <c r="AB58" i="22"/>
  <c r="E58" i="22" s="1"/>
  <c r="P37" i="22"/>
  <c r="O37" i="22"/>
  <c r="P36" i="22"/>
  <c r="O36" i="22"/>
  <c r="P35" i="22"/>
  <c r="O35" i="22"/>
  <c r="P34" i="22"/>
  <c r="P33" i="22"/>
  <c r="AB32" i="22"/>
  <c r="P32" i="22"/>
  <c r="O32" i="22"/>
  <c r="AB31" i="22"/>
  <c r="P31" i="22"/>
  <c r="D31" i="22"/>
  <c r="AB30" i="22"/>
  <c r="P30" i="22"/>
  <c r="AB29" i="22"/>
  <c r="E29" i="22" s="1"/>
  <c r="O29" i="22"/>
  <c r="D29" i="22"/>
  <c r="AB28" i="22"/>
  <c r="E28" i="22" s="1"/>
  <c r="P28" i="22"/>
  <c r="D28" i="22"/>
  <c r="AB27" i="22"/>
  <c r="E27" i="22" s="1"/>
  <c r="P27" i="22"/>
  <c r="D27" i="22"/>
  <c r="AB26" i="22"/>
  <c r="P26" i="22"/>
  <c r="O26" i="22"/>
  <c r="AB25" i="22"/>
  <c r="E25" i="22" s="1"/>
  <c r="P25" i="22"/>
  <c r="AB24" i="22"/>
  <c r="E24" i="22" s="1"/>
  <c r="P24" i="22"/>
  <c r="D24" i="22"/>
  <c r="AB23" i="22"/>
  <c r="E23" i="22" s="1"/>
  <c r="P23" i="22"/>
  <c r="D23" i="22"/>
  <c r="AB22" i="22"/>
  <c r="E22" i="22" s="1"/>
  <c r="P22" i="22"/>
  <c r="O22" i="22"/>
  <c r="D22" i="22"/>
  <c r="AB21" i="22"/>
  <c r="E21" i="22" s="1"/>
  <c r="P21" i="22"/>
  <c r="D21" i="22"/>
  <c r="AB20" i="22"/>
  <c r="P20" i="22"/>
  <c r="O20" i="22"/>
  <c r="AB19" i="22"/>
  <c r="E19" i="22" s="1"/>
  <c r="P19" i="22"/>
  <c r="O19" i="22"/>
  <c r="AB18" i="22"/>
  <c r="E18" i="22" s="1"/>
  <c r="P18" i="22"/>
  <c r="AB17" i="22"/>
  <c r="E17" i="22" s="1"/>
  <c r="P17" i="22"/>
  <c r="D17" i="22"/>
  <c r="AB16" i="22"/>
  <c r="E16" i="22" s="1"/>
  <c r="D16" i="22"/>
  <c r="AB15" i="22"/>
  <c r="E15" i="22" s="1"/>
  <c r="P15" i="22"/>
  <c r="O15" i="22"/>
  <c r="D15" i="22"/>
  <c r="AB14" i="22"/>
  <c r="E14" i="22" s="1"/>
  <c r="P14" i="22"/>
  <c r="D14" i="22"/>
  <c r="AB13" i="22"/>
  <c r="E13" i="22" s="1"/>
  <c r="P13" i="22"/>
  <c r="D13" i="22"/>
  <c r="D11" i="22"/>
  <c r="D10" i="22"/>
  <c r="P9" i="22"/>
  <c r="AB8" i="22"/>
  <c r="E8" i="22" s="1"/>
  <c r="D8" i="22"/>
  <c r="AB7" i="22"/>
  <c r="E7" i="22" s="1"/>
  <c r="P7" i="22"/>
  <c r="D7" i="22"/>
  <c r="S6" i="22"/>
  <c r="P6" i="22"/>
  <c r="P397" i="15"/>
  <c r="P396" i="15"/>
  <c r="P395" i="15"/>
  <c r="P394" i="15"/>
  <c r="P387" i="15"/>
  <c r="P386" i="15"/>
  <c r="P378" i="15"/>
  <c r="P377" i="15"/>
  <c r="B377" i="15"/>
  <c r="B378" i="15" s="1"/>
  <c r="P376" i="15"/>
  <c r="W331" i="15"/>
  <c r="V331" i="15" s="1"/>
  <c r="W314" i="15"/>
  <c r="V314" i="15" s="1"/>
  <c r="AE157" i="15"/>
  <c r="AD157" i="15"/>
  <c r="AC157" i="15"/>
  <c r="AB157" i="15"/>
  <c r="AA157" i="15"/>
  <c r="AJ157" i="15" s="1"/>
  <c r="Z157" i="15"/>
  <c r="AE155" i="15"/>
  <c r="AD155" i="15"/>
  <c r="AC155" i="15"/>
  <c r="AB155" i="15"/>
  <c r="AA155" i="15"/>
  <c r="AJ155" i="15" s="1"/>
  <c r="Z155" i="15"/>
  <c r="AE147" i="15"/>
  <c r="AD147" i="15"/>
  <c r="AC147" i="15"/>
  <c r="AB147" i="15"/>
  <c r="AA147" i="15"/>
  <c r="AJ147" i="15" s="1"/>
  <c r="Z147" i="15"/>
  <c r="Y134" i="15"/>
  <c r="Y133" i="15"/>
  <c r="Y132" i="15"/>
  <c r="Y131" i="15"/>
  <c r="Y130" i="15"/>
  <c r="Y129" i="15"/>
  <c r="Y128" i="15"/>
  <c r="Y127" i="15"/>
  <c r="Y126" i="15"/>
  <c r="Y125" i="15"/>
  <c r="Y124" i="15"/>
  <c r="Y123" i="15"/>
  <c r="Y122" i="15"/>
  <c r="Y121" i="15"/>
  <c r="Y120" i="15"/>
  <c r="Y119" i="15"/>
  <c r="Y118" i="15"/>
  <c r="Y117" i="15"/>
  <c r="Y116" i="15"/>
  <c r="Y74" i="15"/>
  <c r="Y73" i="15"/>
  <c r="Y72" i="15"/>
  <c r="Y71" i="15"/>
  <c r="Y70" i="15"/>
  <c r="Y69" i="15"/>
  <c r="Y68" i="15"/>
  <c r="Y67" i="15"/>
  <c r="Y66" i="15"/>
  <c r="Y65" i="15"/>
  <c r="Y64" i="15"/>
  <c r="Y63" i="15"/>
  <c r="Y62" i="15"/>
  <c r="Y61" i="15"/>
  <c r="Y60" i="15"/>
  <c r="Y59" i="15"/>
  <c r="Y58" i="15"/>
  <c r="Y57" i="15"/>
  <c r="Y26" i="15"/>
  <c r="Y25" i="15"/>
  <c r="Y24" i="15"/>
  <c r="Y23" i="15"/>
  <c r="Y22" i="15"/>
  <c r="Y21" i="15"/>
  <c r="Y20" i="15"/>
  <c r="AC179" i="30" l="1"/>
  <c r="AG179" i="30"/>
  <c r="AD131" i="30"/>
  <c r="AC131" i="30"/>
  <c r="AC154" i="30" s="1"/>
  <c r="AE131" i="30"/>
  <c r="AE154" i="30" s="1"/>
  <c r="AG131" i="30"/>
  <c r="AG154" i="30" s="1"/>
  <c r="AD179" i="30"/>
  <c r="AF179" i="30"/>
  <c r="AH131" i="30"/>
  <c r="AH154" i="30" s="1"/>
  <c r="AH179" i="30"/>
  <c r="AE179" i="30"/>
  <c r="AF131" i="30"/>
  <c r="AF154" i="30" s="1"/>
  <c r="AC161" i="27"/>
  <c r="Y257" i="27"/>
  <c r="AD161" i="27"/>
  <c r="AC119" i="27"/>
  <c r="AC135" i="27" s="1"/>
  <c r="AF119" i="27"/>
  <c r="AF135" i="27" s="1"/>
  <c r="AE161" i="27"/>
  <c r="AD119" i="27"/>
  <c r="AD135" i="27" s="1"/>
  <c r="AM135" i="27" s="1"/>
  <c r="AH119" i="27"/>
  <c r="AH135" i="27" s="1"/>
  <c r="AG161" i="27"/>
  <c r="AH161" i="27"/>
  <c r="AF161" i="27"/>
  <c r="AE119" i="27"/>
  <c r="AE135" i="27" s="1"/>
  <c r="AG119" i="27"/>
  <c r="AG135" i="27" s="1"/>
  <c r="Z39" i="22"/>
  <c r="Y39" i="22" s="1"/>
  <c r="G21" i="22"/>
  <c r="G19" i="22"/>
  <c r="F74" i="22"/>
  <c r="F10" i="22"/>
  <c r="F16" i="22"/>
  <c r="G13" i="22"/>
  <c r="H13" i="22" s="1"/>
  <c r="F18" i="22"/>
  <c r="G11" i="22"/>
  <c r="F66" i="22"/>
  <c r="G378" i="22"/>
  <c r="G276" i="25"/>
  <c r="R50" i="13"/>
  <c r="F24" i="22"/>
  <c r="F121" i="22"/>
  <c r="G167" i="22"/>
  <c r="G125" i="22"/>
  <c r="F205" i="25"/>
  <c r="H205" i="25" s="1"/>
  <c r="F280" i="22"/>
  <c r="H280" i="22" s="1"/>
  <c r="Z204" i="25"/>
  <c r="Y204" i="25" s="1"/>
  <c r="X204" i="25"/>
  <c r="K9" i="22"/>
  <c r="W35" i="22"/>
  <c r="W27" i="22"/>
  <c r="W19" i="22"/>
  <c r="W9" i="22"/>
  <c r="T24" i="22"/>
  <c r="K38" i="22"/>
  <c r="K22" i="22"/>
  <c r="K13" i="22"/>
  <c r="W30" i="22"/>
  <c r="W22" i="22"/>
  <c r="K32" i="22"/>
  <c r="K24" i="22"/>
  <c r="K15" i="22"/>
  <c r="W32" i="22"/>
  <c r="W24" i="22"/>
  <c r="K23" i="22"/>
  <c r="K14" i="22"/>
  <c r="T37" i="22"/>
  <c r="T29" i="22"/>
  <c r="T21" i="22"/>
  <c r="T10" i="22"/>
  <c r="W14" i="22"/>
  <c r="T27" i="22"/>
  <c r="T19" i="22"/>
  <c r="T36" i="22"/>
  <c r="T20" i="22"/>
  <c r="T9" i="22"/>
  <c r="K37" i="22"/>
  <c r="K29" i="22"/>
  <c r="K21" i="22"/>
  <c r="K12" i="22"/>
  <c r="W29" i="22"/>
  <c r="W12" i="22"/>
  <c r="K28" i="22"/>
  <c r="K20" i="22"/>
  <c r="K10" i="22"/>
  <c r="W36" i="22"/>
  <c r="W28" i="22"/>
  <c r="W20" i="22"/>
  <c r="W10" i="22"/>
  <c r="T33" i="22"/>
  <c r="T25" i="22"/>
  <c r="K34" i="22"/>
  <c r="K18" i="22"/>
  <c r="K8" i="22"/>
  <c r="K33" i="22"/>
  <c r="K25" i="22"/>
  <c r="K17" i="22"/>
  <c r="T31" i="22"/>
  <c r="T23" i="22"/>
  <c r="W33" i="22"/>
  <c r="W25" i="22"/>
  <c r="W16" i="22"/>
  <c r="W7" i="22"/>
  <c r="T38" i="22"/>
  <c r="R32" i="21"/>
  <c r="S32" i="21"/>
  <c r="T32" i="21" s="1"/>
  <c r="P13" i="21"/>
  <c r="R11" i="22"/>
  <c r="T11" i="22" s="1"/>
  <c r="R63" i="22"/>
  <c r="P19" i="21"/>
  <c r="R68" i="22"/>
  <c r="R16" i="22"/>
  <c r="P39" i="21"/>
  <c r="U46" i="21"/>
  <c r="P10" i="19"/>
  <c r="F44" i="25"/>
  <c r="F7" i="25"/>
  <c r="F59" i="22"/>
  <c r="H59" i="22" s="1"/>
  <c r="F86" i="25"/>
  <c r="F118" i="25"/>
  <c r="F118" i="22"/>
  <c r="H118" i="22" s="1"/>
  <c r="F167" i="22"/>
  <c r="F121" i="25"/>
  <c r="F89" i="25"/>
  <c r="F169" i="22"/>
  <c r="H169" i="22" s="1"/>
  <c r="F120" i="22"/>
  <c r="F166" i="25"/>
  <c r="F122" i="25"/>
  <c r="F90" i="25"/>
  <c r="F171" i="22"/>
  <c r="F122" i="22"/>
  <c r="H122" i="22" s="1"/>
  <c r="F233" i="22"/>
  <c r="F92" i="25"/>
  <c r="F124" i="25"/>
  <c r="F123" i="22"/>
  <c r="H123" i="22" s="1"/>
  <c r="F127" i="25"/>
  <c r="F95" i="25"/>
  <c r="F125" i="22"/>
  <c r="F174" i="22"/>
  <c r="H174" i="22" s="1"/>
  <c r="F129" i="25"/>
  <c r="F97" i="25"/>
  <c r="F176" i="22"/>
  <c r="F127" i="22"/>
  <c r="H127" i="22" s="1"/>
  <c r="G180" i="25"/>
  <c r="G248" i="22"/>
  <c r="F215" i="25"/>
  <c r="F290" i="22"/>
  <c r="N51" i="19"/>
  <c r="O51" i="19" s="1"/>
  <c r="M51" i="19"/>
  <c r="S44" i="21"/>
  <c r="T44" i="21" s="1"/>
  <c r="R44" i="21"/>
  <c r="P63" i="22"/>
  <c r="Q63" i="22" s="1"/>
  <c r="P11" i="22"/>
  <c r="P222" i="22"/>
  <c r="P81" i="22"/>
  <c r="P29" i="22"/>
  <c r="Q29" i="22" s="1"/>
  <c r="N50" i="19"/>
  <c r="O50" i="19" s="1"/>
  <c r="M50" i="19"/>
  <c r="P50" i="19" s="1"/>
  <c r="N52" i="19"/>
  <c r="O52" i="19" s="1"/>
  <c r="M52" i="19"/>
  <c r="L66" i="19"/>
  <c r="M66" i="19" s="1"/>
  <c r="K66" i="19"/>
  <c r="S68" i="22"/>
  <c r="S16" i="22"/>
  <c r="R34" i="21"/>
  <c r="S34" i="21"/>
  <c r="T34" i="21" s="1"/>
  <c r="P378" i="22"/>
  <c r="P290" i="22"/>
  <c r="R39" i="21"/>
  <c r="S39" i="21"/>
  <c r="T39" i="21" s="1"/>
  <c r="S46" i="21"/>
  <c r="T46" i="21" s="1"/>
  <c r="R46" i="21"/>
  <c r="P11" i="21"/>
  <c r="N51" i="21"/>
  <c r="N41" i="19"/>
  <c r="O41" i="19" s="1"/>
  <c r="M41" i="19"/>
  <c r="P41" i="19" s="1"/>
  <c r="N43" i="19"/>
  <c r="O43" i="19" s="1"/>
  <c r="M43" i="19"/>
  <c r="S45" i="24"/>
  <c r="T45" i="24" s="1"/>
  <c r="R45" i="24"/>
  <c r="F7" i="22"/>
  <c r="K11" i="22"/>
  <c r="N63" i="22"/>
  <c r="S63" i="22"/>
  <c r="K63" i="22"/>
  <c r="P68" i="22"/>
  <c r="Q68" i="22" s="1"/>
  <c r="P16" i="22"/>
  <c r="N61" i="19"/>
  <c r="O61" i="19" s="1"/>
  <c r="M61" i="19"/>
  <c r="P61" i="19" s="1"/>
  <c r="P23" i="21"/>
  <c r="R69" i="22"/>
  <c r="R17" i="22"/>
  <c r="T17" i="22" s="1"/>
  <c r="P10" i="21"/>
  <c r="P32" i="21"/>
  <c r="L52" i="21"/>
  <c r="M52" i="21" s="1"/>
  <c r="K52" i="21"/>
  <c r="P62" i="22"/>
  <c r="Q62" i="22" s="1"/>
  <c r="P10" i="22"/>
  <c r="N291" i="22"/>
  <c r="G43" i="25"/>
  <c r="G6" i="25"/>
  <c r="G6" i="22"/>
  <c r="H6" i="22" s="1"/>
  <c r="G58" i="22"/>
  <c r="G45" i="25"/>
  <c r="G8" i="25"/>
  <c r="G60" i="22"/>
  <c r="G8" i="22"/>
  <c r="H8" i="22" s="1"/>
  <c r="G119" i="25"/>
  <c r="G87" i="25"/>
  <c r="G166" i="22"/>
  <c r="G117" i="22"/>
  <c r="G88" i="25"/>
  <c r="G120" i="25"/>
  <c r="G168" i="22"/>
  <c r="G119" i="22"/>
  <c r="G91" i="25"/>
  <c r="G123" i="25"/>
  <c r="G278" i="25"/>
  <c r="G374" i="22"/>
  <c r="Z374" i="22" s="1"/>
  <c r="G121" i="22"/>
  <c r="G170" i="22"/>
  <c r="H170" i="22" s="1"/>
  <c r="G125" i="25"/>
  <c r="G93" i="25"/>
  <c r="G124" i="22"/>
  <c r="G173" i="22"/>
  <c r="G96" i="25"/>
  <c r="G128" i="25"/>
  <c r="G126" i="22"/>
  <c r="G175" i="22"/>
  <c r="G98" i="25"/>
  <c r="G280" i="25"/>
  <c r="G130" i="25"/>
  <c r="G128" i="22"/>
  <c r="G177" i="22"/>
  <c r="G375" i="22"/>
  <c r="X375" i="22" s="1"/>
  <c r="G56" i="25"/>
  <c r="G19" i="25"/>
  <c r="G26" i="22"/>
  <c r="H26" i="22" s="1"/>
  <c r="G78" i="22"/>
  <c r="M40" i="24"/>
  <c r="N40" i="24"/>
  <c r="O40" i="24" s="1"/>
  <c r="K27" i="22"/>
  <c r="K19" i="22"/>
  <c r="N59" i="19"/>
  <c r="O59" i="19" s="1"/>
  <c r="M59" i="19"/>
  <c r="P14" i="21"/>
  <c r="P20" i="21"/>
  <c r="S40" i="21"/>
  <c r="T40" i="21" s="1"/>
  <c r="R40" i="21"/>
  <c r="R45" i="21"/>
  <c r="S45" i="21"/>
  <c r="T45" i="21" s="1"/>
  <c r="P7" i="19"/>
  <c r="P11" i="19"/>
  <c r="N42" i="19"/>
  <c r="O42" i="19" s="1"/>
  <c r="M42" i="19"/>
  <c r="P42" i="19" s="1"/>
  <c r="N60" i="19"/>
  <c r="O60" i="19" s="1"/>
  <c r="M60" i="19"/>
  <c r="F172" i="22"/>
  <c r="U16" i="21"/>
  <c r="R168" i="22"/>
  <c r="T168" i="22" s="1"/>
  <c r="V11" i="22"/>
  <c r="W11" i="22" s="1"/>
  <c r="V63" i="22"/>
  <c r="V119" i="22"/>
  <c r="V168" i="22"/>
  <c r="N46" i="24"/>
  <c r="O46" i="24" s="1"/>
  <c r="M46" i="24"/>
  <c r="U46" i="24" s="1"/>
  <c r="R41" i="19"/>
  <c r="R43" i="19"/>
  <c r="R51" i="19"/>
  <c r="O290" i="22" s="1"/>
  <c r="R52" i="19"/>
  <c r="R60" i="19"/>
  <c r="R61" i="19"/>
  <c r="K67" i="19"/>
  <c r="N67" i="19" s="1"/>
  <c r="N34" i="24"/>
  <c r="O34" i="24" s="1"/>
  <c r="P34" i="24" s="1"/>
  <c r="N38" i="24"/>
  <c r="O38" i="24" s="1"/>
  <c r="M38" i="24"/>
  <c r="W31" i="22"/>
  <c r="G117" i="25"/>
  <c r="G85" i="25"/>
  <c r="G165" i="22"/>
  <c r="H165" i="22" s="1"/>
  <c r="G11" i="25"/>
  <c r="G48" i="25"/>
  <c r="G62" i="22"/>
  <c r="H62" i="22" s="1"/>
  <c r="G10" i="22"/>
  <c r="G12" i="25"/>
  <c r="G49" i="25"/>
  <c r="G12" i="22"/>
  <c r="G64" i="22"/>
  <c r="H64" i="22" s="1"/>
  <c r="G16" i="25"/>
  <c r="G53" i="25"/>
  <c r="G66" i="22"/>
  <c r="G14" i="25"/>
  <c r="G51" i="25"/>
  <c r="G20" i="25"/>
  <c r="G57" i="25"/>
  <c r="G18" i="22"/>
  <c r="G70" i="22"/>
  <c r="H70" i="22" s="1"/>
  <c r="G59" i="25"/>
  <c r="G22" i="25"/>
  <c r="G20" i="22"/>
  <c r="G72" i="22"/>
  <c r="H72" i="22" s="1"/>
  <c r="G24" i="25"/>
  <c r="G61" i="25"/>
  <c r="G74" i="22"/>
  <c r="H74" i="22" s="1"/>
  <c r="G26" i="25"/>
  <c r="G63" i="25"/>
  <c r="F191" i="25"/>
  <c r="F261" i="22"/>
  <c r="G203" i="25"/>
  <c r="G278" i="22"/>
  <c r="R34" i="24"/>
  <c r="S34" i="24"/>
  <c r="T34" i="24" s="1"/>
  <c r="G24" i="22"/>
  <c r="T34" i="22"/>
  <c r="T26" i="22"/>
  <c r="T18" i="22"/>
  <c r="W13" i="22"/>
  <c r="S69" i="22"/>
  <c r="G22" i="22"/>
  <c r="H22" i="22" s="1"/>
  <c r="U168" i="22"/>
  <c r="P23" i="24"/>
  <c r="U17" i="22"/>
  <c r="P55" i="13"/>
  <c r="F281" i="22"/>
  <c r="H281" i="22" s="1"/>
  <c r="G249" i="25"/>
  <c r="G331" i="22"/>
  <c r="P31" i="19"/>
  <c r="O222" i="22"/>
  <c r="O81" i="22"/>
  <c r="F84" i="25"/>
  <c r="F116" i="25"/>
  <c r="F115" i="22"/>
  <c r="F164" i="22"/>
  <c r="F46" i="25"/>
  <c r="F9" i="25"/>
  <c r="F9" i="22"/>
  <c r="F10" i="25"/>
  <c r="F47" i="25"/>
  <c r="F11" i="22"/>
  <c r="F52" i="25"/>
  <c r="F15" i="25"/>
  <c r="F65" i="22"/>
  <c r="H65" i="22" s="1"/>
  <c r="F13" i="25"/>
  <c r="F50" i="25"/>
  <c r="F154" i="25"/>
  <c r="F67" i="22"/>
  <c r="F220" i="22"/>
  <c r="F54" i="25"/>
  <c r="F17" i="25"/>
  <c r="F17" i="22"/>
  <c r="F58" i="25"/>
  <c r="F21" i="25"/>
  <c r="F19" i="22"/>
  <c r="F23" i="25"/>
  <c r="F60" i="25"/>
  <c r="F73" i="22"/>
  <c r="H73" i="22" s="1"/>
  <c r="F25" i="25"/>
  <c r="F62" i="25"/>
  <c r="F75" i="22"/>
  <c r="F55" i="25"/>
  <c r="F18" i="25"/>
  <c r="F25" i="22"/>
  <c r="F94" i="25"/>
  <c r="F126" i="25"/>
  <c r="F178" i="22"/>
  <c r="G201" i="25"/>
  <c r="G276" i="22"/>
  <c r="F239" i="25"/>
  <c r="F318" i="22"/>
  <c r="N39" i="24"/>
  <c r="O39" i="24" s="1"/>
  <c r="M39" i="24"/>
  <c r="F77" i="22"/>
  <c r="F61" i="22"/>
  <c r="H61" i="22" s="1"/>
  <c r="S119" i="22"/>
  <c r="T119" i="22" s="1"/>
  <c r="U119" i="22"/>
  <c r="G239" i="25"/>
  <c r="G318" i="22"/>
  <c r="K290" i="22"/>
  <c r="K291" i="22"/>
  <c r="V378" i="22"/>
  <c r="N45" i="24"/>
  <c r="O45" i="24" s="1"/>
  <c r="F21" i="22"/>
  <c r="G16" i="22"/>
  <c r="T13" i="22"/>
  <c r="W34" i="22"/>
  <c r="W26" i="22"/>
  <c r="F6" i="25"/>
  <c r="H6" i="25" s="1"/>
  <c r="F43" i="25"/>
  <c r="H43" i="25" s="1"/>
  <c r="F45" i="25"/>
  <c r="F8" i="25"/>
  <c r="F87" i="25"/>
  <c r="F119" i="25"/>
  <c r="F120" i="25"/>
  <c r="H120" i="25" s="1"/>
  <c r="F88" i="25"/>
  <c r="F91" i="25"/>
  <c r="F123" i="25"/>
  <c r="H123" i="25" s="1"/>
  <c r="F93" i="25"/>
  <c r="F125" i="25"/>
  <c r="F128" i="25"/>
  <c r="H128" i="25" s="1"/>
  <c r="F96" i="25"/>
  <c r="F98" i="25"/>
  <c r="F130" i="25"/>
  <c r="F56" i="25"/>
  <c r="F19" i="25"/>
  <c r="G217" i="25"/>
  <c r="G292" i="22"/>
  <c r="V17" i="22"/>
  <c r="F175" i="22"/>
  <c r="G233" i="22"/>
  <c r="U55" i="13"/>
  <c r="F295" i="22"/>
  <c r="H295" i="22" s="1"/>
  <c r="F128" i="22"/>
  <c r="G172" i="22"/>
  <c r="F218" i="25"/>
  <c r="H218" i="25" s="1"/>
  <c r="F293" i="22"/>
  <c r="H293" i="22" s="1"/>
  <c r="U53" i="13"/>
  <c r="G116" i="25"/>
  <c r="G84" i="25"/>
  <c r="G46" i="25"/>
  <c r="G9" i="25"/>
  <c r="G47" i="25"/>
  <c r="G10" i="25"/>
  <c r="G52" i="25"/>
  <c r="G15" i="25"/>
  <c r="G50" i="25"/>
  <c r="G154" i="25"/>
  <c r="G13" i="25"/>
  <c r="G54" i="25"/>
  <c r="G17" i="25"/>
  <c r="G58" i="25"/>
  <c r="G21" i="25"/>
  <c r="G60" i="25"/>
  <c r="G23" i="25"/>
  <c r="G62" i="25"/>
  <c r="G25" i="25"/>
  <c r="G18" i="25"/>
  <c r="G55" i="25"/>
  <c r="G126" i="25"/>
  <c r="G279" i="25"/>
  <c r="G94" i="25"/>
  <c r="G129" i="22"/>
  <c r="H129" i="22" s="1"/>
  <c r="G178" i="22"/>
  <c r="G215" i="25"/>
  <c r="G290" i="22"/>
  <c r="F78" i="22"/>
  <c r="G77" i="22"/>
  <c r="G69" i="22"/>
  <c r="H69" i="22" s="1"/>
  <c r="F119" i="22"/>
  <c r="G164" i="22"/>
  <c r="F177" i="22"/>
  <c r="F219" i="25"/>
  <c r="H219" i="25" s="1"/>
  <c r="U54" i="13"/>
  <c r="F294" i="22"/>
  <c r="H294" i="22" s="1"/>
  <c r="F126" i="22"/>
  <c r="F166" i="22"/>
  <c r="G44" i="25"/>
  <c r="G7" i="25"/>
  <c r="G86" i="25"/>
  <c r="G118" i="25"/>
  <c r="G89" i="25"/>
  <c r="G121" i="25"/>
  <c r="G166" i="25"/>
  <c r="G122" i="25"/>
  <c r="G90" i="25"/>
  <c r="G92" i="25"/>
  <c r="G124" i="25"/>
  <c r="G127" i="25"/>
  <c r="G95" i="25"/>
  <c r="G129" i="25"/>
  <c r="G97" i="25"/>
  <c r="G190" i="25"/>
  <c r="G260" i="22"/>
  <c r="G202" i="25"/>
  <c r="G277" i="22"/>
  <c r="G9" i="22"/>
  <c r="F60" i="22"/>
  <c r="G75" i="22"/>
  <c r="G67" i="22"/>
  <c r="U63" i="22"/>
  <c r="F117" i="22"/>
  <c r="F168" i="22"/>
  <c r="G171" i="22"/>
  <c r="F85" i="25"/>
  <c r="F117" i="25"/>
  <c r="F11" i="25"/>
  <c r="F48" i="25"/>
  <c r="F12" i="25"/>
  <c r="F49" i="25"/>
  <c r="F16" i="25"/>
  <c r="F53" i="25"/>
  <c r="F51" i="25"/>
  <c r="F14" i="25"/>
  <c r="H14" i="25" s="1"/>
  <c r="F20" i="25"/>
  <c r="F57" i="25"/>
  <c r="F22" i="25"/>
  <c r="F59" i="25"/>
  <c r="H59" i="25" s="1"/>
  <c r="F24" i="25"/>
  <c r="H24" i="25" s="1"/>
  <c r="F61" i="25"/>
  <c r="F26" i="25"/>
  <c r="F63" i="25"/>
  <c r="G181" i="25"/>
  <c r="G249" i="22"/>
  <c r="G277" i="25"/>
  <c r="G216" i="25"/>
  <c r="G291" i="22"/>
  <c r="F12" i="22"/>
  <c r="F20" i="22"/>
  <c r="G25" i="22"/>
  <c r="G17" i="22"/>
  <c r="G7" i="22"/>
  <c r="F58" i="22"/>
  <c r="G115" i="22"/>
  <c r="F124" i="22"/>
  <c r="F116" i="22"/>
  <c r="H116" i="22" s="1"/>
  <c r="G120" i="22"/>
  <c r="F173" i="22"/>
  <c r="G176" i="22"/>
  <c r="G220" i="22"/>
  <c r="X234" i="22"/>
  <c r="X235" i="22"/>
  <c r="X401" i="22"/>
  <c r="X402" i="22"/>
  <c r="K36" i="22"/>
  <c r="W15" i="22"/>
  <c r="W38" i="22"/>
  <c r="X236" i="22"/>
  <c r="X400" i="22"/>
  <c r="K31" i="22"/>
  <c r="X223" i="22"/>
  <c r="X221" i="22"/>
  <c r="W21" i="22"/>
  <c r="T30" i="22"/>
  <c r="K7" i="22"/>
  <c r="W8" i="22"/>
  <c r="T8" i="22"/>
  <c r="T35" i="22"/>
  <c r="T12" i="22"/>
  <c r="K30" i="22"/>
  <c r="T7" i="22"/>
  <c r="T22" i="22"/>
  <c r="T14" i="22"/>
  <c r="T15" i="22"/>
  <c r="K26" i="22"/>
  <c r="P10" i="13"/>
  <c r="P30" i="13"/>
  <c r="P29" i="13"/>
  <c r="U30" i="13"/>
  <c r="U28" i="13"/>
  <c r="U50" i="13"/>
  <c r="M50" i="13"/>
  <c r="P28" i="13"/>
  <c r="P16" i="13"/>
  <c r="S42" i="13"/>
  <c r="T42" i="13" s="1"/>
  <c r="R41" i="13"/>
  <c r="M41" i="13"/>
  <c r="S43" i="13"/>
  <c r="T43" i="13" s="1"/>
  <c r="P8" i="13"/>
  <c r="M51" i="13"/>
  <c r="M59" i="13"/>
  <c r="M61" i="13"/>
  <c r="U61" i="13" s="1"/>
  <c r="K67" i="13"/>
  <c r="N67" i="13" s="1"/>
  <c r="N59" i="13"/>
  <c r="O59" i="13" s="1"/>
  <c r="G306" i="22" s="1"/>
  <c r="N61" i="13"/>
  <c r="O61" i="13" s="1"/>
  <c r="M52" i="13"/>
  <c r="M58" i="13"/>
  <c r="M60" i="13"/>
  <c r="P60" i="13" s="1"/>
  <c r="K65" i="13"/>
  <c r="N58" i="13"/>
  <c r="O58" i="13" s="1"/>
  <c r="N60" i="13"/>
  <c r="O60" i="13" s="1"/>
  <c r="U43" i="13"/>
  <c r="P7" i="13"/>
  <c r="R51" i="13"/>
  <c r="R52" i="13"/>
  <c r="K66" i="13"/>
  <c r="M42" i="13"/>
  <c r="M43" i="13"/>
  <c r="P43" i="13" s="1"/>
  <c r="T28" i="22"/>
  <c r="K35" i="22"/>
  <c r="Q186" i="22"/>
  <c r="T233" i="22"/>
  <c r="Q319" i="22"/>
  <c r="W233" i="22"/>
  <c r="T220" i="22"/>
  <c r="Q233" i="22"/>
  <c r="K233" i="22"/>
  <c r="W266" i="22"/>
  <c r="Q333" i="22"/>
  <c r="K308" i="22"/>
  <c r="Q308" i="22"/>
  <c r="T308" i="22"/>
  <c r="U308" i="22" s="1"/>
  <c r="K320" i="22"/>
  <c r="N320" i="22"/>
  <c r="T321" i="22"/>
  <c r="U321" i="22" s="1"/>
  <c r="Q220" i="22"/>
  <c r="K220" i="22"/>
  <c r="W220" i="22"/>
  <c r="K265" i="22"/>
  <c r="N263" i="22"/>
  <c r="H319" i="22"/>
  <c r="K321" i="22"/>
  <c r="N321" i="22"/>
  <c r="T322" i="22"/>
  <c r="U322" i="22" s="1"/>
  <c r="W37" i="22"/>
  <c r="W178" i="22"/>
  <c r="Q182" i="22"/>
  <c r="K164" i="22"/>
  <c r="T174" i="22"/>
  <c r="Q278" i="22"/>
  <c r="K294" i="22"/>
  <c r="Q292" i="22"/>
  <c r="T319" i="22"/>
  <c r="U319" i="22" s="1"/>
  <c r="K307" i="22"/>
  <c r="N307" i="22"/>
  <c r="Q307" i="22"/>
  <c r="T307" i="22"/>
  <c r="U307" i="22" s="1"/>
  <c r="K333" i="22"/>
  <c r="K279" i="22"/>
  <c r="N281" i="22"/>
  <c r="W294" i="22"/>
  <c r="N179" i="22"/>
  <c r="T177" i="22"/>
  <c r="W191" i="22"/>
  <c r="W248" i="22"/>
  <c r="Q172" i="22"/>
  <c r="W173" i="22"/>
  <c r="T175" i="22"/>
  <c r="N249" i="22"/>
  <c r="W250" i="22"/>
  <c r="T263" i="22"/>
  <c r="K292" i="22"/>
  <c r="N294" i="22"/>
  <c r="T292" i="22"/>
  <c r="K181" i="22"/>
  <c r="N192" i="22"/>
  <c r="H193" i="22"/>
  <c r="W249" i="22"/>
  <c r="K277" i="22"/>
  <c r="N279" i="22"/>
  <c r="W177" i="22"/>
  <c r="W175" i="22"/>
  <c r="T188" i="22"/>
  <c r="K281" i="22"/>
  <c r="K276" i="22"/>
  <c r="K169" i="22"/>
  <c r="Q175" i="22"/>
  <c r="N194" i="22"/>
  <c r="W295" i="22"/>
  <c r="N166" i="22"/>
  <c r="Q262" i="22"/>
  <c r="T277" i="22"/>
  <c r="W281" i="22"/>
  <c r="T291" i="22"/>
  <c r="N186" i="22"/>
  <c r="N277" i="22"/>
  <c r="W280" i="22"/>
  <c r="N292" i="22"/>
  <c r="W292" i="22"/>
  <c r="K170" i="22"/>
  <c r="W170" i="22"/>
  <c r="T172" i="22"/>
  <c r="Q178" i="22"/>
  <c r="T179" i="22"/>
  <c r="T184" i="22"/>
  <c r="K264" i="22"/>
  <c r="N262" i="22"/>
  <c r="W265" i="22"/>
  <c r="T169" i="22"/>
  <c r="H265" i="22"/>
  <c r="K263" i="22"/>
  <c r="N261" i="22"/>
  <c r="Q332" i="22"/>
  <c r="N182" i="22"/>
  <c r="K192" i="22"/>
  <c r="W192" i="22"/>
  <c r="H264" i="22"/>
  <c r="K166" i="22"/>
  <c r="T171" i="22"/>
  <c r="H181" i="22"/>
  <c r="N183" i="22"/>
  <c r="N189" i="22"/>
  <c r="K191" i="22"/>
  <c r="H263" i="22"/>
  <c r="T266" i="22"/>
  <c r="T264" i="22"/>
  <c r="W264" i="22"/>
  <c r="W279" i="22"/>
  <c r="Q295" i="22"/>
  <c r="W291" i="22"/>
  <c r="K332" i="22"/>
  <c r="N169" i="22"/>
  <c r="W188" i="22"/>
  <c r="H262" i="22"/>
  <c r="K261" i="22"/>
  <c r="Q266" i="22"/>
  <c r="Q280" i="22"/>
  <c r="W278" i="22"/>
  <c r="Q294" i="22"/>
  <c r="N251" i="22"/>
  <c r="T251" i="22"/>
  <c r="Q279" i="22"/>
  <c r="T281" i="22"/>
  <c r="K295" i="22"/>
  <c r="Q293" i="22"/>
  <c r="T295" i="22"/>
  <c r="T173" i="22"/>
  <c r="Q183" i="22"/>
  <c r="K193" i="22"/>
  <c r="N265" i="22"/>
  <c r="W261" i="22"/>
  <c r="H320" i="22"/>
  <c r="K322" i="22"/>
  <c r="N322" i="22"/>
  <c r="Z404" i="22"/>
  <c r="Y404" i="22" s="1"/>
  <c r="Z396" i="22"/>
  <c r="Y396" i="22" s="1"/>
  <c r="N174" i="22"/>
  <c r="Q179" i="22"/>
  <c r="H183" i="22"/>
  <c r="T186" i="22"/>
  <c r="W187" i="22"/>
  <c r="T189" i="22"/>
  <c r="H192" i="22"/>
  <c r="N193" i="22"/>
  <c r="H194" i="22"/>
  <c r="Q263" i="22"/>
  <c r="Q277" i="22"/>
  <c r="K293" i="22"/>
  <c r="N295" i="22"/>
  <c r="X365" i="22"/>
  <c r="Z380" i="22"/>
  <c r="Y380" i="22" s="1"/>
  <c r="W167" i="22"/>
  <c r="K180" i="22"/>
  <c r="W180" i="22"/>
  <c r="H182" i="22"/>
  <c r="K183" i="22"/>
  <c r="W183" i="22"/>
  <c r="N184" i="22"/>
  <c r="K189" i="22"/>
  <c r="H191" i="22"/>
  <c r="T191" i="22"/>
  <c r="Q193" i="22"/>
  <c r="W293" i="22"/>
  <c r="K306" i="22"/>
  <c r="N306" i="22"/>
  <c r="Q306" i="22"/>
  <c r="T306" i="22"/>
  <c r="U306" i="22" s="1"/>
  <c r="K319" i="22"/>
  <c r="N319" i="22"/>
  <c r="T320" i="22"/>
  <c r="U320" i="22" s="1"/>
  <c r="K174" i="22"/>
  <c r="Q177" i="22"/>
  <c r="K190" i="22"/>
  <c r="Q260" i="22"/>
  <c r="Z394" i="22"/>
  <c r="Y394" i="22" s="1"/>
  <c r="Z397" i="22"/>
  <c r="Y397" i="22" s="1"/>
  <c r="N181" i="22"/>
  <c r="K185" i="22"/>
  <c r="Z403" i="22"/>
  <c r="Y403" i="22" s="1"/>
  <c r="K178" i="22"/>
  <c r="K251" i="22"/>
  <c r="N250" i="22"/>
  <c r="Q249" i="22"/>
  <c r="Q265" i="22"/>
  <c r="W263" i="22"/>
  <c r="N278" i="22"/>
  <c r="Q281" i="22"/>
  <c r="T279" i="22"/>
  <c r="W277" i="22"/>
  <c r="N293" i="22"/>
  <c r="Q291" i="22"/>
  <c r="T294" i="22"/>
  <c r="N308" i="22"/>
  <c r="X381" i="22"/>
  <c r="T166" i="22"/>
  <c r="Z395" i="22"/>
  <c r="Y395" i="22" s="1"/>
  <c r="T143" i="22"/>
  <c r="T135" i="22"/>
  <c r="T127" i="22"/>
  <c r="Q164" i="22"/>
  <c r="T165" i="22"/>
  <c r="Q167" i="22"/>
  <c r="W169" i="22"/>
  <c r="Q171" i="22"/>
  <c r="K172" i="22"/>
  <c r="Q174" i="22"/>
  <c r="Q180" i="22"/>
  <c r="K182" i="22"/>
  <c r="T183" i="22"/>
  <c r="W184" i="22"/>
  <c r="H186" i="22"/>
  <c r="T194" i="22"/>
  <c r="T249" i="22"/>
  <c r="K266" i="22"/>
  <c r="N264" i="22"/>
  <c r="Q264" i="22"/>
  <c r="W262" i="22"/>
  <c r="T278" i="22"/>
  <c r="T293" i="22"/>
  <c r="H309" i="22"/>
  <c r="X382" i="22"/>
  <c r="X380" i="22"/>
  <c r="Q250" i="22"/>
  <c r="Q261" i="22"/>
  <c r="K280" i="22"/>
  <c r="W276" i="22"/>
  <c r="H308" i="22"/>
  <c r="H322" i="22"/>
  <c r="Z383" i="22"/>
  <c r="Z400" i="22"/>
  <c r="Y400" i="22" s="1"/>
  <c r="AF176" i="22"/>
  <c r="AH176" i="22"/>
  <c r="W165" i="22"/>
  <c r="T167" i="22"/>
  <c r="K168" i="22"/>
  <c r="K176" i="22"/>
  <c r="W176" i="22"/>
  <c r="H180" i="22"/>
  <c r="T180" i="22"/>
  <c r="W182" i="22"/>
  <c r="K186" i="22"/>
  <c r="H190" i="22"/>
  <c r="K194" i="22"/>
  <c r="W194" i="22"/>
  <c r="K262" i="22"/>
  <c r="W260" i="22"/>
  <c r="H279" i="22"/>
  <c r="N280" i="22"/>
  <c r="H307" i="22"/>
  <c r="K309" i="22"/>
  <c r="N309" i="22"/>
  <c r="Q309" i="22"/>
  <c r="T309" i="22"/>
  <c r="U309" i="22" s="1"/>
  <c r="H321" i="22"/>
  <c r="Z376" i="22"/>
  <c r="Y376" i="22" s="1"/>
  <c r="Z399" i="22"/>
  <c r="Y399" i="22" s="1"/>
  <c r="Z365" i="22"/>
  <c r="Y365" i="22" s="1"/>
  <c r="Q166" i="22"/>
  <c r="Q169" i="22"/>
  <c r="T170" i="22"/>
  <c r="K171" i="22"/>
  <c r="W171" i="22"/>
  <c r="W181" i="22"/>
  <c r="H185" i="22"/>
  <c r="Q188" i="22"/>
  <c r="Q189" i="22"/>
  <c r="N191" i="22"/>
  <c r="Q192" i="22"/>
  <c r="T193" i="22"/>
  <c r="W251" i="22"/>
  <c r="T280" i="22"/>
  <c r="H333" i="22"/>
  <c r="Z377" i="22"/>
  <c r="Z398" i="22"/>
  <c r="Y398" i="22" s="1"/>
  <c r="Z401" i="22"/>
  <c r="Y401" i="22" s="1"/>
  <c r="Z381" i="22"/>
  <c r="AG176" i="22"/>
  <c r="W18" i="22"/>
  <c r="AD176" i="22"/>
  <c r="AE176" i="22"/>
  <c r="T164" i="22"/>
  <c r="K165" i="22"/>
  <c r="N168" i="22"/>
  <c r="K173" i="22"/>
  <c r="N176" i="22"/>
  <c r="T178" i="22"/>
  <c r="K179" i="22"/>
  <c r="T181" i="22"/>
  <c r="T182" i="22"/>
  <c r="K184" i="22"/>
  <c r="T185" i="22"/>
  <c r="K187" i="22"/>
  <c r="N188" i="22"/>
  <c r="W190" i="22"/>
  <c r="N165" i="22"/>
  <c r="Q168" i="22"/>
  <c r="N172" i="22"/>
  <c r="W172" i="22"/>
  <c r="N173" i="22"/>
  <c r="Q176" i="22"/>
  <c r="K177" i="22"/>
  <c r="W189" i="22"/>
  <c r="Q191" i="22"/>
  <c r="T192" i="22"/>
  <c r="W193" i="22"/>
  <c r="W185" i="22"/>
  <c r="W186" i="22"/>
  <c r="N187" i="22"/>
  <c r="N190" i="22"/>
  <c r="Q165" i="22"/>
  <c r="Q173" i="22"/>
  <c r="T176" i="22"/>
  <c r="N177" i="22"/>
  <c r="W179" i="22"/>
  <c r="N180" i="22"/>
  <c r="Q194" i="22"/>
  <c r="K167" i="22"/>
  <c r="N170" i="22"/>
  <c r="N171" i="22"/>
  <c r="K175" i="22"/>
  <c r="N178" i="22"/>
  <c r="Q184" i="22"/>
  <c r="N185" i="22"/>
  <c r="Q187" i="22"/>
  <c r="H188" i="22"/>
  <c r="H189" i="22"/>
  <c r="Q190" i="22"/>
  <c r="W166" i="22"/>
  <c r="N167" i="22"/>
  <c r="Q170" i="22"/>
  <c r="W174" i="22"/>
  <c r="N175" i="22"/>
  <c r="H179" i="22"/>
  <c r="Q181" i="22"/>
  <c r="H184" i="22"/>
  <c r="Q185" i="22"/>
  <c r="H187" i="22"/>
  <c r="T187" i="22"/>
  <c r="K188" i="22"/>
  <c r="T190" i="22"/>
  <c r="N266" i="22"/>
  <c r="H266" i="22"/>
  <c r="T262" i="22"/>
  <c r="K305" i="22"/>
  <c r="Q318" i="22"/>
  <c r="N332" i="22"/>
  <c r="Z382" i="22"/>
  <c r="Y382" i="22" s="1"/>
  <c r="X377" i="22"/>
  <c r="X376" i="22"/>
  <c r="X383" i="22"/>
  <c r="Z402" i="22"/>
  <c r="Y402" i="22" s="1"/>
  <c r="X399" i="22"/>
  <c r="X398" i="22"/>
  <c r="X394" i="22"/>
  <c r="X397" i="22"/>
  <c r="X404" i="22"/>
  <c r="X396" i="22"/>
  <c r="X403" i="22"/>
  <c r="X395" i="22"/>
  <c r="N333" i="22"/>
  <c r="K331" i="22"/>
  <c r="K318" i="22"/>
  <c r="Q276" i="22"/>
  <c r="T265" i="22"/>
  <c r="T261" i="22"/>
  <c r="T260" i="22"/>
  <c r="K260" i="22"/>
  <c r="H251" i="22"/>
  <c r="M45" i="13"/>
  <c r="P45" i="13" s="1"/>
  <c r="R45" i="13"/>
  <c r="U45" i="13" s="1"/>
  <c r="T250" i="22"/>
  <c r="Q251" i="22"/>
  <c r="K250" i="22"/>
  <c r="K249" i="22"/>
  <c r="K248" i="22"/>
  <c r="H250" i="22"/>
  <c r="W164" i="22"/>
  <c r="H33" i="22"/>
  <c r="H36" i="22"/>
  <c r="H37" i="22"/>
  <c r="W92" i="22"/>
  <c r="N93" i="22"/>
  <c r="N85" i="22"/>
  <c r="N77" i="22"/>
  <c r="N69" i="22"/>
  <c r="N61" i="22"/>
  <c r="N143" i="22"/>
  <c r="N135" i="22"/>
  <c r="N127" i="22"/>
  <c r="N119" i="22"/>
  <c r="Q139" i="22"/>
  <c r="Q131" i="22"/>
  <c r="N90" i="22"/>
  <c r="N82" i="22"/>
  <c r="N74" i="22"/>
  <c r="N66" i="22"/>
  <c r="W84" i="22"/>
  <c r="W76" i="22"/>
  <c r="W68" i="22"/>
  <c r="W60" i="22"/>
  <c r="N140" i="22"/>
  <c r="N132" i="22"/>
  <c r="N116" i="22"/>
  <c r="H28" i="22"/>
  <c r="N121" i="22"/>
  <c r="Q141" i="22"/>
  <c r="Q133" i="22"/>
  <c r="T152" i="22"/>
  <c r="T137" i="22"/>
  <c r="T129" i="22"/>
  <c r="T121" i="22"/>
  <c r="T59" i="22"/>
  <c r="W95" i="22"/>
  <c r="W87" i="22"/>
  <c r="W79" i="22"/>
  <c r="W71" i="22"/>
  <c r="K152" i="22"/>
  <c r="K137" i="22"/>
  <c r="K129" i="22"/>
  <c r="K121" i="22"/>
  <c r="Q60" i="22"/>
  <c r="T32" i="22"/>
  <c r="Q26" i="22"/>
  <c r="Q58" i="22"/>
  <c r="H91" i="22"/>
  <c r="Q138" i="22"/>
  <c r="Q130" i="22"/>
  <c r="Q122" i="22"/>
  <c r="H95" i="22"/>
  <c r="K92" i="22"/>
  <c r="K84" i="22"/>
  <c r="K76" i="22"/>
  <c r="K60" i="22"/>
  <c r="T89" i="22"/>
  <c r="T81" i="22"/>
  <c r="T73" i="22"/>
  <c r="T65" i="22"/>
  <c r="T79" i="22"/>
  <c r="K143" i="22"/>
  <c r="K135" i="22"/>
  <c r="K127" i="22"/>
  <c r="K119" i="22"/>
  <c r="Q91" i="22"/>
  <c r="Q83" i="22"/>
  <c r="Q75" i="22"/>
  <c r="Q67" i="22"/>
  <c r="Q59" i="22"/>
  <c r="H144" i="22"/>
  <c r="T144" i="22"/>
  <c r="T136" i="22"/>
  <c r="T128" i="22"/>
  <c r="T120" i="22"/>
  <c r="W23" i="22"/>
  <c r="H83" i="22"/>
  <c r="K100" i="22"/>
  <c r="K72" i="22"/>
  <c r="N12" i="22"/>
  <c r="Q19" i="22"/>
  <c r="N21" i="22"/>
  <c r="Q22" i="22"/>
  <c r="N36" i="22"/>
  <c r="T60" i="22"/>
  <c r="W100" i="22"/>
  <c r="W88" i="22"/>
  <c r="W80" i="22"/>
  <c r="W72" i="22"/>
  <c r="W64" i="22"/>
  <c r="H142" i="22"/>
  <c r="H134" i="22"/>
  <c r="K94" i="22"/>
  <c r="K86" i="22"/>
  <c r="K78" i="22"/>
  <c r="K70" i="22"/>
  <c r="K62" i="22"/>
  <c r="N76" i="22"/>
  <c r="N68" i="22"/>
  <c r="Q90" i="22"/>
  <c r="Q82" i="22"/>
  <c r="Q74" i="22"/>
  <c r="Q66" i="22"/>
  <c r="W74" i="22"/>
  <c r="H138" i="22"/>
  <c r="K142" i="22"/>
  <c r="K134" i="22"/>
  <c r="K126" i="22"/>
  <c r="K118" i="22"/>
  <c r="N139" i="22"/>
  <c r="N131" i="22"/>
  <c r="N123" i="22"/>
  <c r="W137" i="22"/>
  <c r="W129" i="22"/>
  <c r="W121" i="22"/>
  <c r="N91" i="22"/>
  <c r="N83" i="22"/>
  <c r="N75" i="22"/>
  <c r="N67" i="22"/>
  <c r="N59" i="22"/>
  <c r="T71" i="22"/>
  <c r="W91" i="22"/>
  <c r="W83" i="22"/>
  <c r="W75" i="22"/>
  <c r="W67" i="22"/>
  <c r="W59" i="22"/>
  <c r="H137" i="22"/>
  <c r="Q142" i="22"/>
  <c r="Q126" i="22"/>
  <c r="Q116" i="22"/>
  <c r="K90" i="22"/>
  <c r="K82" i="22"/>
  <c r="K74" i="22"/>
  <c r="K66" i="22"/>
  <c r="H136" i="22"/>
  <c r="K122" i="22"/>
  <c r="H15" i="22"/>
  <c r="H23" i="22"/>
  <c r="H31" i="22"/>
  <c r="H94" i="22"/>
  <c r="H93" i="22"/>
  <c r="H85" i="22"/>
  <c r="K91" i="22"/>
  <c r="K83" i="22"/>
  <c r="K75" i="22"/>
  <c r="K59" i="22"/>
  <c r="H143" i="22"/>
  <c r="H135" i="22"/>
  <c r="Q15" i="22"/>
  <c r="T58" i="22"/>
  <c r="K80" i="22"/>
  <c r="K64" i="22"/>
  <c r="Q92" i="22"/>
  <c r="Q84" i="22"/>
  <c r="Q76" i="22"/>
  <c r="T90" i="22"/>
  <c r="T82" i="22"/>
  <c r="T74" i="22"/>
  <c r="T66" i="22"/>
  <c r="W94" i="22"/>
  <c r="W86" i="22"/>
  <c r="W78" i="22"/>
  <c r="W70" i="22"/>
  <c r="W62" i="22"/>
  <c r="H87" i="22"/>
  <c r="H79" i="22"/>
  <c r="H71" i="22"/>
  <c r="H63" i="22"/>
  <c r="H86" i="22"/>
  <c r="K67" i="22"/>
  <c r="W139" i="22"/>
  <c r="W123" i="22"/>
  <c r="N10" i="22"/>
  <c r="H92" i="22"/>
  <c r="H84" i="22"/>
  <c r="H76" i="22"/>
  <c r="H68" i="22"/>
  <c r="K88" i="22"/>
  <c r="T80" i="22"/>
  <c r="H141" i="22"/>
  <c r="H133" i="22"/>
  <c r="H130" i="22"/>
  <c r="N152" i="22"/>
  <c r="N137" i="22"/>
  <c r="N129" i="22"/>
  <c r="T142" i="22"/>
  <c r="T134" i="22"/>
  <c r="T126" i="22"/>
  <c r="T118" i="22"/>
  <c r="W144" i="22"/>
  <c r="W136" i="22"/>
  <c r="W128" i="22"/>
  <c r="W120" i="22"/>
  <c r="W143" i="22"/>
  <c r="W135" i="22"/>
  <c r="W127" i="22"/>
  <c r="K89" i="22"/>
  <c r="K81" i="22"/>
  <c r="K73" i="22"/>
  <c r="K65" i="22"/>
  <c r="Q95" i="22"/>
  <c r="Q87" i="22"/>
  <c r="Q79" i="22"/>
  <c r="Q71" i="22"/>
  <c r="T95" i="22"/>
  <c r="T87" i="22"/>
  <c r="K138" i="22"/>
  <c r="K130" i="22"/>
  <c r="N144" i="22"/>
  <c r="N136" i="22"/>
  <c r="N128" i="22"/>
  <c r="N120" i="22"/>
  <c r="Q134" i="22"/>
  <c r="Q118" i="22"/>
  <c r="T141" i="22"/>
  <c r="T133" i="22"/>
  <c r="T125" i="22"/>
  <c r="H29" i="22"/>
  <c r="H139" i="22"/>
  <c r="H131" i="22"/>
  <c r="Q125" i="22"/>
  <c r="Q117" i="22"/>
  <c r="Q123" i="22"/>
  <c r="T140" i="22"/>
  <c r="T132" i="22"/>
  <c r="T124" i="22"/>
  <c r="T116" i="22"/>
  <c r="W142" i="22"/>
  <c r="W126" i="22"/>
  <c r="Q20" i="22"/>
  <c r="N16" i="22"/>
  <c r="N24" i="22"/>
  <c r="N31" i="22"/>
  <c r="N33" i="22"/>
  <c r="W58" i="22"/>
  <c r="H89" i="22"/>
  <c r="H81" i="22"/>
  <c r="H100" i="22"/>
  <c r="H88" i="22"/>
  <c r="H80" i="22"/>
  <c r="K95" i="22"/>
  <c r="K87" i="22"/>
  <c r="K79" i="22"/>
  <c r="K71" i="22"/>
  <c r="T93" i="22"/>
  <c r="T85" i="22"/>
  <c r="T77" i="22"/>
  <c r="W90" i="22"/>
  <c r="W82" i="22"/>
  <c r="W66" i="22"/>
  <c r="K144" i="22"/>
  <c r="K136" i="22"/>
  <c r="K128" i="22"/>
  <c r="K120" i="22"/>
  <c r="N124" i="22"/>
  <c r="Q140" i="22"/>
  <c r="Q132" i="22"/>
  <c r="Q124" i="22"/>
  <c r="H14" i="22"/>
  <c r="H30" i="22"/>
  <c r="H38" i="22"/>
  <c r="T117" i="22"/>
  <c r="H32" i="22"/>
  <c r="N89" i="22"/>
  <c r="N81" i="22"/>
  <c r="N73" i="22"/>
  <c r="N65" i="22"/>
  <c r="N95" i="22"/>
  <c r="N87" i="22"/>
  <c r="N79" i="22"/>
  <c r="N71" i="22"/>
  <c r="Q100" i="22"/>
  <c r="Q88" i="22"/>
  <c r="Q80" i="22"/>
  <c r="Q72" i="22"/>
  <c r="Q64" i="22"/>
  <c r="Q94" i="22"/>
  <c r="Q86" i="22"/>
  <c r="Q78" i="22"/>
  <c r="Q70" i="22"/>
  <c r="W93" i="22"/>
  <c r="W85" i="22"/>
  <c r="W77" i="22"/>
  <c r="W69" i="22"/>
  <c r="W61" i="22"/>
  <c r="H140" i="22"/>
  <c r="H132" i="22"/>
  <c r="K140" i="22"/>
  <c r="K132" i="22"/>
  <c r="K124" i="22"/>
  <c r="K116" i="22"/>
  <c r="W134" i="22"/>
  <c r="W118" i="22"/>
  <c r="N100" i="22"/>
  <c r="N88" i="22"/>
  <c r="N80" i="22"/>
  <c r="N72" i="22"/>
  <c r="N64" i="22"/>
  <c r="T94" i="22"/>
  <c r="T86" i="22"/>
  <c r="T78" i="22"/>
  <c r="T70" i="22"/>
  <c r="T62" i="22"/>
  <c r="K141" i="22"/>
  <c r="K133" i="22"/>
  <c r="K125" i="22"/>
  <c r="K117" i="22"/>
  <c r="T138" i="22"/>
  <c r="T130" i="22"/>
  <c r="T122" i="22"/>
  <c r="Q36" i="22"/>
  <c r="T91" i="22"/>
  <c r="T83" i="22"/>
  <c r="T75" i="22"/>
  <c r="T67" i="22"/>
  <c r="W89" i="22"/>
  <c r="W81" i="22"/>
  <c r="W73" i="22"/>
  <c r="W65" i="22"/>
  <c r="N34" i="22"/>
  <c r="H27" i="22"/>
  <c r="H35" i="22"/>
  <c r="H34" i="22"/>
  <c r="N94" i="22"/>
  <c r="N86" i="22"/>
  <c r="N78" i="22"/>
  <c r="N70" i="22"/>
  <c r="N62" i="22"/>
  <c r="N92" i="22"/>
  <c r="N84" i="22"/>
  <c r="N60" i="22"/>
  <c r="Q93" i="22"/>
  <c r="Q85" i="22"/>
  <c r="Q77" i="22"/>
  <c r="Q69" i="22"/>
  <c r="Q61" i="22"/>
  <c r="T92" i="22"/>
  <c r="T84" i="22"/>
  <c r="T76" i="22"/>
  <c r="H152" i="22"/>
  <c r="K131" i="22"/>
  <c r="K123" i="22"/>
  <c r="N138" i="22"/>
  <c r="N130" i="22"/>
  <c r="N122" i="22"/>
  <c r="Q152" i="22"/>
  <c r="Q137" i="22"/>
  <c r="Q129" i="22"/>
  <c r="Q121" i="22"/>
  <c r="Q143" i="22"/>
  <c r="Q135" i="22"/>
  <c r="Q127" i="22"/>
  <c r="Q119" i="22"/>
  <c r="K93" i="22"/>
  <c r="K85" i="22"/>
  <c r="K77" i="22"/>
  <c r="K69" i="22"/>
  <c r="K61" i="22"/>
  <c r="W131" i="22"/>
  <c r="W115" i="22"/>
  <c r="W138" i="22"/>
  <c r="W130" i="22"/>
  <c r="W122" i="22"/>
  <c r="Q89" i="22"/>
  <c r="Q73" i="22"/>
  <c r="Q65" i="22"/>
  <c r="T100" i="22"/>
  <c r="T88" i="22"/>
  <c r="T72" i="22"/>
  <c r="T64" i="22"/>
  <c r="N22" i="22"/>
  <c r="Q35" i="22"/>
  <c r="N37" i="22"/>
  <c r="N142" i="22"/>
  <c r="N134" i="22"/>
  <c r="N126" i="22"/>
  <c r="N118" i="22"/>
  <c r="Q37" i="22"/>
  <c r="H90" i="22"/>
  <c r="H82" i="22"/>
  <c r="N141" i="22"/>
  <c r="N133" i="22"/>
  <c r="N125" i="22"/>
  <c r="N117" i="22"/>
  <c r="T115" i="22"/>
  <c r="N30" i="22"/>
  <c r="Q32" i="22"/>
  <c r="K139" i="22"/>
  <c r="W152" i="22"/>
  <c r="Q144" i="22"/>
  <c r="Q136" i="22"/>
  <c r="Q128" i="22"/>
  <c r="Q120" i="22"/>
  <c r="T139" i="22"/>
  <c r="T131" i="22"/>
  <c r="T123" i="22"/>
  <c r="K58" i="22"/>
  <c r="K115" i="22"/>
  <c r="T6" i="22"/>
  <c r="T61" i="22"/>
  <c r="W117" i="22"/>
  <c r="W140" i="22"/>
  <c r="W132" i="22"/>
  <c r="W124" i="22"/>
  <c r="W116" i="22"/>
  <c r="W141" i="22"/>
  <c r="W133" i="22"/>
  <c r="W125" i="22"/>
  <c r="K6" i="22"/>
  <c r="W6" i="22"/>
  <c r="N19" i="22"/>
  <c r="P9" i="24"/>
  <c r="P12" i="24"/>
  <c r="P13" i="24"/>
  <c r="P24" i="24"/>
  <c r="N66" i="19"/>
  <c r="U7" i="13"/>
  <c r="P11" i="13"/>
  <c r="P10" i="24"/>
  <c r="U11" i="24"/>
  <c r="P14" i="24"/>
  <c r="U18" i="24"/>
  <c r="P26" i="24"/>
  <c r="P43" i="19"/>
  <c r="P51" i="19"/>
  <c r="P52" i="19"/>
  <c r="U59" i="19"/>
  <c r="U60" i="19"/>
  <c r="U6" i="13"/>
  <c r="P7" i="24"/>
  <c r="P16" i="24"/>
  <c r="P17" i="24"/>
  <c r="P20" i="24"/>
  <c r="P13" i="19"/>
  <c r="P14" i="19"/>
  <c r="P15" i="19"/>
  <c r="P16" i="19"/>
  <c r="P17" i="19"/>
  <c r="P18" i="19"/>
  <c r="P19" i="19"/>
  <c r="P20" i="19"/>
  <c r="P22" i="19"/>
  <c r="P24" i="19"/>
  <c r="P26" i="19"/>
  <c r="P9" i="13"/>
  <c r="U13" i="13"/>
  <c r="U14" i="13"/>
  <c r="U15" i="13"/>
  <c r="U16" i="13"/>
  <c r="U17" i="13"/>
  <c r="U18" i="13"/>
  <c r="U19" i="13"/>
  <c r="U20" i="13"/>
  <c r="U21" i="13"/>
  <c r="U22" i="13"/>
  <c r="U23" i="13"/>
  <c r="U24" i="13"/>
  <c r="U25" i="13"/>
  <c r="U10" i="24"/>
  <c r="P32" i="24"/>
  <c r="U9" i="21"/>
  <c r="U10" i="21"/>
  <c r="U11" i="21"/>
  <c r="U13" i="21"/>
  <c r="U17" i="21"/>
  <c r="U18" i="21"/>
  <c r="U19" i="21"/>
  <c r="U20" i="21"/>
  <c r="U23" i="21"/>
  <c r="U26" i="21"/>
  <c r="U32" i="21"/>
  <c r="U34" i="21"/>
  <c r="U39" i="21"/>
  <c r="U40" i="21"/>
  <c r="N52" i="21"/>
  <c r="U7" i="19"/>
  <c r="U10" i="19"/>
  <c r="U11" i="19"/>
  <c r="P12" i="13"/>
  <c r="P8" i="24"/>
  <c r="U13" i="19"/>
  <c r="U15" i="19"/>
  <c r="U17" i="19"/>
  <c r="U19" i="19"/>
  <c r="U20" i="19"/>
  <c r="U24" i="19"/>
  <c r="U41" i="19"/>
  <c r="U43" i="19"/>
  <c r="U51" i="19"/>
  <c r="U52" i="19"/>
  <c r="U9" i="13"/>
  <c r="P13" i="13"/>
  <c r="P14" i="13"/>
  <c r="P15" i="13"/>
  <c r="P17" i="13"/>
  <c r="P18" i="13"/>
  <c r="P19" i="13"/>
  <c r="P21" i="13"/>
  <c r="P22" i="13"/>
  <c r="P23" i="13"/>
  <c r="P24" i="13"/>
  <c r="P25" i="13"/>
  <c r="P26" i="13"/>
  <c r="U60" i="13"/>
  <c r="U9" i="24"/>
  <c r="P18" i="24"/>
  <c r="U19" i="24"/>
  <c r="U24" i="24"/>
  <c r="P6" i="13"/>
  <c r="U8" i="24"/>
  <c r="P40" i="24"/>
  <c r="N11" i="22"/>
  <c r="N14" i="22"/>
  <c r="N7" i="22"/>
  <c r="N9" i="22"/>
  <c r="O16" i="22"/>
  <c r="O6" i="22"/>
  <c r="Q6" i="22" s="1"/>
  <c r="O9" i="22"/>
  <c r="Q9" i="22" s="1"/>
  <c r="O10" i="22"/>
  <c r="O7" i="22"/>
  <c r="Q7" i="22" s="1"/>
  <c r="R248" i="22"/>
  <c r="T248" i="22" s="1"/>
  <c r="O23" i="22"/>
  <c r="N8" i="22"/>
  <c r="N20" i="22"/>
  <c r="O33" i="22"/>
  <c r="Q33" i="22" s="1"/>
  <c r="O25" i="22"/>
  <c r="Q25" i="22" s="1"/>
  <c r="O34" i="22"/>
  <c r="Q34" i="22" s="1"/>
  <c r="O18" i="22"/>
  <c r="Q18" i="22" s="1"/>
  <c r="O331" i="22"/>
  <c r="Q331" i="22" s="1"/>
  <c r="O248" i="22"/>
  <c r="Q248" i="22" s="1"/>
  <c r="N26" i="22"/>
  <c r="R290" i="22"/>
  <c r="N25" i="22"/>
  <c r="N29" i="22"/>
  <c r="N15" i="22"/>
  <c r="O28" i="22"/>
  <c r="Q28" i="22" s="1"/>
  <c r="O30" i="22"/>
  <c r="Q30" i="22" s="1"/>
  <c r="O31" i="22"/>
  <c r="O21" i="22"/>
  <c r="Q21" i="22" s="1"/>
  <c r="O11" i="22"/>
  <c r="U16" i="19"/>
  <c r="P59" i="19"/>
  <c r="O305" i="22"/>
  <c r="Q305" i="22" s="1"/>
  <c r="R276" i="22"/>
  <c r="T276" i="22" s="1"/>
  <c r="P9" i="21"/>
  <c r="O27" i="22"/>
  <c r="O17" i="22"/>
  <c r="Q17" i="22" s="1"/>
  <c r="O13" i="22"/>
  <c r="Q13" i="22" s="1"/>
  <c r="P40" i="21"/>
  <c r="U9" i="19"/>
  <c r="U8" i="13"/>
  <c r="O24" i="22"/>
  <c r="Q24" i="22" s="1"/>
  <c r="O14" i="22"/>
  <c r="Q14" i="22" s="1"/>
  <c r="O115" i="22"/>
  <c r="Q115" i="22" s="1"/>
  <c r="Y343" i="22"/>
  <c r="U8" i="21"/>
  <c r="U24" i="21"/>
  <c r="P45" i="21"/>
  <c r="P20" i="13"/>
  <c r="P46" i="21"/>
  <c r="P47" i="21"/>
  <c r="U11" i="13"/>
  <c r="U26" i="13"/>
  <c r="T305" i="22"/>
  <c r="U305" i="22" s="1"/>
  <c r="U44" i="21"/>
  <c r="U61" i="19"/>
  <c r="P60" i="19"/>
  <c r="P8" i="21"/>
  <c r="P16" i="21"/>
  <c r="P24" i="21"/>
  <c r="P44" i="21"/>
  <c r="U18" i="19"/>
  <c r="U26" i="19"/>
  <c r="U62" i="19"/>
  <c r="U12" i="13"/>
  <c r="U8" i="19"/>
  <c r="U26" i="24"/>
  <c r="U40" i="24"/>
  <c r="P11" i="24"/>
  <c r="U13" i="24"/>
  <c r="U17" i="24"/>
  <c r="U20" i="24"/>
  <c r="U23" i="24"/>
  <c r="P33" i="24"/>
  <c r="P39" i="24"/>
  <c r="P19" i="24"/>
  <c r="U34" i="24"/>
  <c r="P45" i="24"/>
  <c r="U45" i="24"/>
  <c r="P38" i="24"/>
  <c r="R39" i="24"/>
  <c r="N44" i="24"/>
  <c r="O44" i="24" s="1"/>
  <c r="P44" i="24" s="1"/>
  <c r="R46" i="24"/>
  <c r="P47" i="24"/>
  <c r="L51" i="24"/>
  <c r="M51" i="24" s="1"/>
  <c r="N51" i="24" s="1"/>
  <c r="R44" i="24"/>
  <c r="K52" i="24"/>
  <c r="N52" i="24" s="1"/>
  <c r="R32" i="24"/>
  <c r="U32" i="24" s="1"/>
  <c r="Y344" i="22"/>
  <c r="AH127" i="22"/>
  <c r="AG127" i="22"/>
  <c r="AF127" i="22"/>
  <c r="AE127" i="22"/>
  <c r="AD127" i="22"/>
  <c r="W328" i="15"/>
  <c r="V328" i="15" s="1"/>
  <c r="W329" i="15"/>
  <c r="V329" i="15" s="1"/>
  <c r="W354" i="15"/>
  <c r="V354" i="15" s="1"/>
  <c r="W24" i="15"/>
  <c r="V24" i="15" s="1"/>
  <c r="W332" i="15"/>
  <c r="V332" i="15" s="1"/>
  <c r="W128" i="15"/>
  <c r="V128" i="15" s="1"/>
  <c r="W21" i="15"/>
  <c r="V21" i="15" s="1"/>
  <c r="W330" i="15"/>
  <c r="V330" i="15" s="1"/>
  <c r="W356" i="15"/>
  <c r="V356" i="15" s="1"/>
  <c r="W352" i="15"/>
  <c r="V352" i="15" s="1"/>
  <c r="W351" i="15"/>
  <c r="V351" i="15" s="1"/>
  <c r="W355" i="15"/>
  <c r="V355" i="15" s="1"/>
  <c r="W302" i="15"/>
  <c r="V302" i="15" s="1"/>
  <c r="W353" i="15"/>
  <c r="V353" i="15" s="1"/>
  <c r="W350" i="15"/>
  <c r="V350" i="15" s="1"/>
  <c r="W349" i="15"/>
  <c r="V349" i="15" s="1"/>
  <c r="W326" i="15"/>
  <c r="V326" i="15" s="1"/>
  <c r="W303" i="15"/>
  <c r="V303" i="15" s="1"/>
  <c r="W325" i="15"/>
  <c r="V325" i="15" s="1"/>
  <c r="W327" i="15"/>
  <c r="V327" i="15" s="1"/>
  <c r="AD154" i="30" l="1"/>
  <c r="AM154" i="30" s="1"/>
  <c r="AM131" i="30"/>
  <c r="AM132" i="30" s="1"/>
  <c r="AM179" i="30"/>
  <c r="AM180" i="30" s="1"/>
  <c r="H233" i="22"/>
  <c r="X233" i="22" s="1"/>
  <c r="H21" i="22"/>
  <c r="Z21" i="22" s="1"/>
  <c r="Y21" i="22" s="1"/>
  <c r="H66" i="22"/>
  <c r="X66" i="22" s="1"/>
  <c r="AM161" i="27"/>
  <c r="AM162" i="27" s="1"/>
  <c r="AM119" i="27"/>
  <c r="AM120" i="27" s="1"/>
  <c r="X374" i="22"/>
  <c r="H318" i="22"/>
  <c r="H19" i="22"/>
  <c r="Z19" i="22" s="1"/>
  <c r="Y19" i="22" s="1"/>
  <c r="H173" i="22"/>
  <c r="Z173" i="22" s="1"/>
  <c r="Y173" i="22" s="1"/>
  <c r="H128" i="22"/>
  <c r="X128" i="22" s="1"/>
  <c r="H24" i="22"/>
  <c r="Z24" i="22" s="1"/>
  <c r="Y24" i="22" s="1"/>
  <c r="H16" i="22"/>
  <c r="T68" i="22"/>
  <c r="H10" i="22"/>
  <c r="H121" i="22"/>
  <c r="X121" i="22" s="1"/>
  <c r="W63" i="22"/>
  <c r="Q16" i="22"/>
  <c r="W119" i="22"/>
  <c r="H130" i="25"/>
  <c r="H91" i="25"/>
  <c r="H119" i="25"/>
  <c r="X205" i="25"/>
  <c r="Z205" i="25"/>
  <c r="Y205" i="25" s="1"/>
  <c r="H12" i="25"/>
  <c r="P61" i="13"/>
  <c r="H51" i="25"/>
  <c r="X51" i="25" s="1"/>
  <c r="H18" i="22"/>
  <c r="H168" i="22"/>
  <c r="H11" i="22"/>
  <c r="H115" i="22"/>
  <c r="X115" i="22" s="1"/>
  <c r="H49" i="25"/>
  <c r="X49" i="25" s="1"/>
  <c r="H125" i="22"/>
  <c r="Z125" i="22" s="1"/>
  <c r="Y125" i="22" s="1"/>
  <c r="H167" i="22"/>
  <c r="X167" i="22" s="1"/>
  <c r="H220" i="22"/>
  <c r="X220" i="22" s="1"/>
  <c r="H57" i="25"/>
  <c r="Z57" i="25" s="1"/>
  <c r="Y57" i="25" s="1"/>
  <c r="H117" i="25"/>
  <c r="X117" i="25" s="1"/>
  <c r="H16" i="25"/>
  <c r="Z16" i="25" s="1"/>
  <c r="Y16" i="25" s="1"/>
  <c r="H88" i="25"/>
  <c r="Z88" i="25" s="1"/>
  <c r="Y88" i="25" s="1"/>
  <c r="H46" i="25"/>
  <c r="Z46" i="25" s="1"/>
  <c r="Y46" i="25" s="1"/>
  <c r="H11" i="25"/>
  <c r="X11" i="25" s="1"/>
  <c r="H45" i="25"/>
  <c r="Z45" i="25" s="1"/>
  <c r="Y45" i="25" s="1"/>
  <c r="H26" i="25"/>
  <c r="X26" i="25" s="1"/>
  <c r="H56" i="25"/>
  <c r="Z56" i="25" s="1"/>
  <c r="Y56" i="25" s="1"/>
  <c r="H87" i="25"/>
  <c r="Z87" i="25" s="1"/>
  <c r="Y87" i="25" s="1"/>
  <c r="H8" i="25"/>
  <c r="Z8" i="25" s="1"/>
  <c r="Y8" i="25" s="1"/>
  <c r="H63" i="25"/>
  <c r="X63" i="25" s="1"/>
  <c r="H19" i="25"/>
  <c r="X19" i="25" s="1"/>
  <c r="H98" i="25"/>
  <c r="X98" i="25" s="1"/>
  <c r="H25" i="25"/>
  <c r="Z25" i="25" s="1"/>
  <c r="Y25" i="25" s="1"/>
  <c r="H17" i="25"/>
  <c r="Z17" i="25" s="1"/>
  <c r="Y17" i="25" s="1"/>
  <c r="H15" i="25"/>
  <c r="Z15" i="25" s="1"/>
  <c r="Y15" i="25" s="1"/>
  <c r="H96" i="25"/>
  <c r="Z96" i="25" s="1"/>
  <c r="Y96" i="25" s="1"/>
  <c r="H18" i="25"/>
  <c r="X18" i="25" s="1"/>
  <c r="H10" i="25"/>
  <c r="X10" i="25" s="1"/>
  <c r="H85" i="25"/>
  <c r="Z85" i="25" s="1"/>
  <c r="Y85" i="25" s="1"/>
  <c r="H61" i="25"/>
  <c r="Z61" i="25" s="1"/>
  <c r="Y61" i="25" s="1"/>
  <c r="H124" i="25"/>
  <c r="X124" i="25" s="1"/>
  <c r="H75" i="22"/>
  <c r="X75" i="22" s="1"/>
  <c r="H175" i="22"/>
  <c r="X175" i="22" s="1"/>
  <c r="H9" i="22"/>
  <c r="Z9" i="22" s="1"/>
  <c r="Y9" i="22" s="1"/>
  <c r="X379" i="22"/>
  <c r="Q81" i="22"/>
  <c r="Z81" i="22" s="1"/>
  <c r="Y81" i="22" s="1"/>
  <c r="K68" i="22"/>
  <c r="H126" i="22"/>
  <c r="Z126" i="22" s="1"/>
  <c r="Y126" i="22" s="1"/>
  <c r="H77" i="22"/>
  <c r="X77" i="22" s="1"/>
  <c r="T318" i="22"/>
  <c r="U318" i="22" s="1"/>
  <c r="Q290" i="22"/>
  <c r="H20" i="22"/>
  <c r="Z20" i="22" s="1"/>
  <c r="Y20" i="22" s="1"/>
  <c r="K278" i="22"/>
  <c r="T63" i="22"/>
  <c r="W168" i="22"/>
  <c r="H124" i="22"/>
  <c r="Z124" i="22" s="1"/>
  <c r="Y124" i="22" s="1"/>
  <c r="H171" i="22"/>
  <c r="X171" i="22" s="1"/>
  <c r="T69" i="22"/>
  <c r="X69" i="22" s="1"/>
  <c r="H58" i="22"/>
  <c r="X58" i="22" s="1"/>
  <c r="H67" i="22"/>
  <c r="Z67" i="22" s="1"/>
  <c r="Y67" i="22" s="1"/>
  <c r="H12" i="22"/>
  <c r="X12" i="22" s="1"/>
  <c r="H177" i="22"/>
  <c r="Z177" i="22" s="1"/>
  <c r="Y177" i="22" s="1"/>
  <c r="H166" i="22"/>
  <c r="X166" i="22" s="1"/>
  <c r="H7" i="22"/>
  <c r="Z7" i="22" s="1"/>
  <c r="Y7" i="22" s="1"/>
  <c r="H60" i="22"/>
  <c r="X60" i="22" s="1"/>
  <c r="H290" i="22"/>
  <c r="Q11" i="22"/>
  <c r="H25" i="22"/>
  <c r="X25" i="22" s="1"/>
  <c r="Z375" i="22"/>
  <c r="Y375" i="22" s="1"/>
  <c r="X38" i="22"/>
  <c r="H117" i="22"/>
  <c r="Z117" i="22" s="1"/>
  <c r="Y117" i="22" s="1"/>
  <c r="Q222" i="22"/>
  <c r="X222" i="22" s="1"/>
  <c r="H78" i="22"/>
  <c r="Z78" i="22" s="1"/>
  <c r="Y78" i="22" s="1"/>
  <c r="H119" i="22"/>
  <c r="K16" i="22"/>
  <c r="H176" i="22"/>
  <c r="Z176" i="22" s="1"/>
  <c r="Y176" i="22" s="1"/>
  <c r="H120" i="22"/>
  <c r="Z120" i="22" s="1"/>
  <c r="Y120" i="22" s="1"/>
  <c r="H17" i="22"/>
  <c r="H172" i="22"/>
  <c r="X172" i="22" s="1"/>
  <c r="H178" i="22"/>
  <c r="Z178" i="22" s="1"/>
  <c r="Y178" i="22" s="1"/>
  <c r="H164" i="22"/>
  <c r="Z164" i="22" s="1"/>
  <c r="Y164" i="22" s="1"/>
  <c r="H97" i="25"/>
  <c r="H92" i="25"/>
  <c r="H7" i="25"/>
  <c r="Z24" i="25"/>
  <c r="Y24" i="25" s="1"/>
  <c r="X24" i="25"/>
  <c r="P46" i="24"/>
  <c r="G229" i="25"/>
  <c r="G305" i="22"/>
  <c r="X277" i="25"/>
  <c r="Z277" i="25"/>
  <c r="Y277" i="25" s="1"/>
  <c r="H22" i="25"/>
  <c r="Z12" i="25"/>
  <c r="Y12" i="25" s="1"/>
  <c r="X12" i="25"/>
  <c r="Z119" i="25"/>
  <c r="Y119" i="25" s="1"/>
  <c r="X119" i="25"/>
  <c r="H126" i="25"/>
  <c r="H54" i="25"/>
  <c r="H52" i="25"/>
  <c r="H129" i="25"/>
  <c r="H89" i="25"/>
  <c r="H44" i="25"/>
  <c r="U39" i="24"/>
  <c r="U290" i="22"/>
  <c r="W290" i="22" s="1"/>
  <c r="P42" i="13"/>
  <c r="F181" i="25"/>
  <c r="H181" i="25" s="1"/>
  <c r="N65" i="13"/>
  <c r="F249" i="25"/>
  <c r="H249" i="25" s="1"/>
  <c r="F331" i="22"/>
  <c r="H331" i="22" s="1"/>
  <c r="U59" i="13"/>
  <c r="F306" i="22"/>
  <c r="H306" i="22" s="1"/>
  <c r="X57" i="25"/>
  <c r="H48" i="25"/>
  <c r="Z279" i="25"/>
  <c r="Y279" i="25" s="1"/>
  <c r="X279" i="25"/>
  <c r="X128" i="25"/>
  <c r="Z128" i="25"/>
  <c r="Y128" i="25" s="1"/>
  <c r="H94" i="25"/>
  <c r="H60" i="25"/>
  <c r="H116" i="25"/>
  <c r="H121" i="25"/>
  <c r="H62" i="25"/>
  <c r="X280" i="25"/>
  <c r="Z280" i="25"/>
  <c r="Y280" i="25" s="1"/>
  <c r="U42" i="13"/>
  <c r="G191" i="25"/>
  <c r="H191" i="25" s="1"/>
  <c r="G261" i="22"/>
  <c r="H261" i="22" s="1"/>
  <c r="X261" i="22" s="1"/>
  <c r="X59" i="25"/>
  <c r="Z59" i="25"/>
  <c r="Y59" i="25" s="1"/>
  <c r="X120" i="25"/>
  <c r="Z120" i="25"/>
  <c r="Y120" i="25" s="1"/>
  <c r="N66" i="13"/>
  <c r="F332" i="22"/>
  <c r="H332" i="22" s="1"/>
  <c r="Z332" i="22" s="1"/>
  <c r="Y332" i="22" s="1"/>
  <c r="P51" i="13"/>
  <c r="F202" i="25"/>
  <c r="H202" i="25" s="1"/>
  <c r="F277" i="22"/>
  <c r="H277" i="22" s="1"/>
  <c r="X277" i="22" s="1"/>
  <c r="P50" i="13"/>
  <c r="F201" i="25"/>
  <c r="H201" i="25" s="1"/>
  <c r="F276" i="22"/>
  <c r="H276" i="22" s="1"/>
  <c r="H20" i="25"/>
  <c r="Z218" i="25"/>
  <c r="Y218" i="25" s="1"/>
  <c r="X218" i="25"/>
  <c r="H125" i="25"/>
  <c r="H23" i="25"/>
  <c r="H47" i="25"/>
  <c r="H84" i="25"/>
  <c r="H215" i="25"/>
  <c r="X130" i="25"/>
  <c r="Z130" i="25"/>
  <c r="Y130" i="25" s="1"/>
  <c r="F229" i="25"/>
  <c r="F305" i="22"/>
  <c r="X14" i="25"/>
  <c r="Z14" i="25"/>
  <c r="Y14" i="25" s="1"/>
  <c r="H93" i="25"/>
  <c r="H154" i="25"/>
  <c r="X154" i="25" s="1"/>
  <c r="Z278" i="25"/>
  <c r="Y278" i="25" s="1"/>
  <c r="X278" i="25"/>
  <c r="H95" i="25"/>
  <c r="H90" i="25"/>
  <c r="T16" i="22"/>
  <c r="U41" i="13"/>
  <c r="F190" i="25"/>
  <c r="H190" i="25" s="1"/>
  <c r="Z379" i="22"/>
  <c r="Y379" i="22" s="1"/>
  <c r="U51" i="13"/>
  <c r="F216" i="25"/>
  <c r="H216" i="25" s="1"/>
  <c r="F291" i="22"/>
  <c r="H291" i="22" s="1"/>
  <c r="X291" i="22" s="1"/>
  <c r="P52" i="13"/>
  <c r="F203" i="25"/>
  <c r="H203" i="25" s="1"/>
  <c r="F278" i="22"/>
  <c r="H278" i="22" s="1"/>
  <c r="X219" i="25"/>
  <c r="Z219" i="25"/>
  <c r="Y219" i="25" s="1"/>
  <c r="Z123" i="25"/>
  <c r="Y123" i="25" s="1"/>
  <c r="X123" i="25"/>
  <c r="Z43" i="25"/>
  <c r="Y43" i="25" s="1"/>
  <c r="X43" i="25"/>
  <c r="H239" i="25"/>
  <c r="H55" i="25"/>
  <c r="H21" i="25"/>
  <c r="H50" i="25"/>
  <c r="S378" i="22"/>
  <c r="S290" i="22"/>
  <c r="T290" i="22" s="1"/>
  <c r="H127" i="25"/>
  <c r="H122" i="25"/>
  <c r="H118" i="25"/>
  <c r="Q10" i="22"/>
  <c r="U52" i="13"/>
  <c r="F217" i="25"/>
  <c r="H217" i="25" s="1"/>
  <c r="F292" i="22"/>
  <c r="H292" i="22" s="1"/>
  <c r="X292" i="22" s="1"/>
  <c r="P41" i="13"/>
  <c r="F180" i="25"/>
  <c r="H180" i="25" s="1"/>
  <c r="F248" i="22"/>
  <c r="H248" i="22" s="1"/>
  <c r="X248" i="22" s="1"/>
  <c r="H53" i="25"/>
  <c r="Z276" i="25"/>
  <c r="Y276" i="25" s="1"/>
  <c r="X276" i="25"/>
  <c r="Z91" i="25"/>
  <c r="Y91" i="25" s="1"/>
  <c r="X91" i="25"/>
  <c r="X6" i="25"/>
  <c r="Z6" i="25"/>
  <c r="H58" i="25"/>
  <c r="H13" i="25"/>
  <c r="H9" i="25"/>
  <c r="W17" i="22"/>
  <c r="H166" i="25"/>
  <c r="X166" i="25" s="1"/>
  <c r="H86" i="25"/>
  <c r="U58" i="13"/>
  <c r="P59" i="13"/>
  <c r="P58" i="13"/>
  <c r="Z185" i="22"/>
  <c r="Y185" i="22" s="1"/>
  <c r="X193" i="22"/>
  <c r="X281" i="22"/>
  <c r="X183" i="22"/>
  <c r="X294" i="22"/>
  <c r="X293" i="22"/>
  <c r="Z188" i="22"/>
  <c r="Y188" i="22" s="1"/>
  <c r="Z309" i="22"/>
  <c r="Y309" i="22" s="1"/>
  <c r="X263" i="22"/>
  <c r="Z174" i="22"/>
  <c r="Y174" i="22" s="1"/>
  <c r="Z295" i="22"/>
  <c r="Y295" i="22" s="1"/>
  <c r="Z264" i="22"/>
  <c r="Y264" i="22" s="1"/>
  <c r="Z180" i="22"/>
  <c r="Y180" i="22" s="1"/>
  <c r="Z183" i="22"/>
  <c r="Y183" i="22" s="1"/>
  <c r="X264" i="22"/>
  <c r="Z281" i="22"/>
  <c r="Y281" i="22" s="1"/>
  <c r="Z194" i="22"/>
  <c r="Y194" i="22" s="1"/>
  <c r="Z322" i="22"/>
  <c r="Y322" i="22" s="1"/>
  <c r="Z179" i="22"/>
  <c r="Y179" i="22" s="1"/>
  <c r="Z262" i="22"/>
  <c r="Y262" i="22" s="1"/>
  <c r="Z169" i="22"/>
  <c r="Y169" i="22" s="1"/>
  <c r="X265" i="22"/>
  <c r="X182" i="22"/>
  <c r="Z184" i="22"/>
  <c r="Y184" i="22" s="1"/>
  <c r="X88" i="22"/>
  <c r="X279" i="22"/>
  <c r="X295" i="22"/>
  <c r="Z186" i="22"/>
  <c r="Y186" i="22" s="1"/>
  <c r="X280" i="22"/>
  <c r="X65" i="22"/>
  <c r="X266" i="22"/>
  <c r="Z192" i="22"/>
  <c r="Y192" i="22" s="1"/>
  <c r="Z170" i="22"/>
  <c r="Y170" i="22" s="1"/>
  <c r="Z182" i="22"/>
  <c r="Y182" i="22" s="1"/>
  <c r="Z193" i="22"/>
  <c r="Y193" i="22" s="1"/>
  <c r="Z189" i="22"/>
  <c r="Y189" i="22" s="1"/>
  <c r="X194" i="22"/>
  <c r="X174" i="22"/>
  <c r="X185" i="22"/>
  <c r="X180" i="22"/>
  <c r="X133" i="22"/>
  <c r="X192" i="22"/>
  <c r="X187" i="22"/>
  <c r="X186" i="22"/>
  <c r="X169" i="22"/>
  <c r="X28" i="22"/>
  <c r="X80" i="22"/>
  <c r="X131" i="22"/>
  <c r="X70" i="22"/>
  <c r="X61" i="22"/>
  <c r="X59" i="22"/>
  <c r="X262" i="22"/>
  <c r="X184" i="22"/>
  <c r="X190" i="22"/>
  <c r="X250" i="22"/>
  <c r="X251" i="22"/>
  <c r="X179" i="22"/>
  <c r="X188" i="22"/>
  <c r="Z165" i="22"/>
  <c r="Y165" i="22" s="1"/>
  <c r="X191" i="22"/>
  <c r="X181" i="22"/>
  <c r="AI176" i="22"/>
  <c r="X76" i="22"/>
  <c r="X100" i="22"/>
  <c r="X84" i="22"/>
  <c r="X91" i="22"/>
  <c r="X92" i="22"/>
  <c r="X71" i="22"/>
  <c r="X85" i="22"/>
  <c r="X83" i="22"/>
  <c r="X86" i="22"/>
  <c r="X82" i="22"/>
  <c r="X73" i="22"/>
  <c r="X79" i="22"/>
  <c r="X93" i="22"/>
  <c r="X74" i="22"/>
  <c r="X90" i="22"/>
  <c r="X87" i="22"/>
  <c r="X62" i="22"/>
  <c r="X64" i="22"/>
  <c r="X89" i="22"/>
  <c r="X95" i="22"/>
  <c r="X72" i="22"/>
  <c r="X94" i="22"/>
  <c r="X165" i="22"/>
  <c r="Z181" i="22"/>
  <c r="Y181" i="22" s="1"/>
  <c r="X189" i="22"/>
  <c r="X170" i="22"/>
  <c r="Z190" i="22"/>
  <c r="Y190" i="22" s="1"/>
  <c r="Z187" i="22"/>
  <c r="Y187" i="22" s="1"/>
  <c r="Z191" i="22"/>
  <c r="Y191" i="22" s="1"/>
  <c r="X152" i="22"/>
  <c r="X130" i="22"/>
  <c r="X137" i="22"/>
  <c r="X138" i="22"/>
  <c r="X135" i="22"/>
  <c r="X116" i="22"/>
  <c r="X118" i="22"/>
  <c r="X136" i="22"/>
  <c r="X143" i="22"/>
  <c r="X141" i="22"/>
  <c r="X132" i="22"/>
  <c r="X123" i="22"/>
  <c r="X122" i="22"/>
  <c r="X129" i="22"/>
  <c r="X134" i="22"/>
  <c r="X140" i="22"/>
  <c r="X142" i="22"/>
  <c r="X139" i="22"/>
  <c r="X127" i="22"/>
  <c r="X144" i="22"/>
  <c r="Z266" i="22"/>
  <c r="Y266" i="22" s="1"/>
  <c r="F249" i="22"/>
  <c r="H249" i="22" s="1"/>
  <c r="X249" i="22" s="1"/>
  <c r="F260" i="22"/>
  <c r="Z143" i="22"/>
  <c r="Y143" i="22" s="1"/>
  <c r="Z37" i="22"/>
  <c r="Y37" i="22" s="1"/>
  <c r="Z36" i="22"/>
  <c r="Y36" i="22" s="1"/>
  <c r="X37" i="22"/>
  <c r="Z35" i="22"/>
  <c r="Y35" i="22" s="1"/>
  <c r="Z82" i="22"/>
  <c r="Y82" i="22" s="1"/>
  <c r="X32" i="22"/>
  <c r="Z74" i="22"/>
  <c r="Y74" i="22" s="1"/>
  <c r="Z142" i="22"/>
  <c r="Y142" i="22" s="1"/>
  <c r="Z71" i="22"/>
  <c r="Y71" i="22" s="1"/>
  <c r="X33" i="22"/>
  <c r="N13" i="22"/>
  <c r="X13" i="22" s="1"/>
  <c r="X36" i="22"/>
  <c r="X15" i="22"/>
  <c r="Z139" i="22"/>
  <c r="Y139" i="22" s="1"/>
  <c r="Z144" i="22"/>
  <c r="Y144" i="22" s="1"/>
  <c r="Z38" i="22"/>
  <c r="Y38" i="22" s="1"/>
  <c r="X14" i="22"/>
  <c r="X29" i="22"/>
  <c r="Z152" i="22"/>
  <c r="Y152" i="22" s="1"/>
  <c r="Y374" i="22"/>
  <c r="Z84" i="22"/>
  <c r="Y84" i="22" s="1"/>
  <c r="Z89" i="22"/>
  <c r="Y89" i="22" s="1"/>
  <c r="X34" i="22"/>
  <c r="Z100" i="22"/>
  <c r="Y100" i="22" s="1"/>
  <c r="X26" i="22"/>
  <c r="X8" i="22"/>
  <c r="Z95" i="22"/>
  <c r="Y95" i="22" s="1"/>
  <c r="X30" i="22"/>
  <c r="Z94" i="22"/>
  <c r="Y94" i="22" s="1"/>
  <c r="Q27" i="22"/>
  <c r="X27" i="22" s="1"/>
  <c r="Q23" i="22"/>
  <c r="X23" i="22" s="1"/>
  <c r="N18" i="22"/>
  <c r="Y381" i="22"/>
  <c r="Q31" i="22"/>
  <c r="X31" i="22" s="1"/>
  <c r="X6" i="22"/>
  <c r="X35" i="22"/>
  <c r="Z22" i="22"/>
  <c r="Y22" i="22" s="1"/>
  <c r="X22" i="22"/>
  <c r="Y383" i="22"/>
  <c r="Y377" i="22"/>
  <c r="U44" i="24"/>
  <c r="Z80" i="22"/>
  <c r="Y80" i="22" s="1"/>
  <c r="Z93" i="22"/>
  <c r="Y93" i="22" s="1"/>
  <c r="Z137" i="22"/>
  <c r="Y137" i="22" s="1"/>
  <c r="Z91" i="22"/>
  <c r="Y91" i="22" s="1"/>
  <c r="Z65" i="22"/>
  <c r="Y65" i="22" s="1"/>
  <c r="Z28" i="22"/>
  <c r="Y28" i="22" s="1"/>
  <c r="Z251" i="22"/>
  <c r="Y251" i="22" s="1"/>
  <c r="Z32" i="22"/>
  <c r="Y32" i="22" s="1"/>
  <c r="Z61" i="22"/>
  <c r="Y61" i="22" s="1"/>
  <c r="Z134" i="22"/>
  <c r="Y134" i="22" s="1"/>
  <c r="Z279" i="22"/>
  <c r="Y279" i="22" s="1"/>
  <c r="Z15" i="22"/>
  <c r="Y15" i="22" s="1"/>
  <c r="Z118" i="22"/>
  <c r="Y118" i="22" s="1"/>
  <c r="Z64" i="22"/>
  <c r="Y64" i="22" s="1"/>
  <c r="Z136" i="22"/>
  <c r="Y136" i="22" s="1"/>
  <c r="Z85" i="22"/>
  <c r="Y85" i="22" s="1"/>
  <c r="Z132" i="22"/>
  <c r="Y132" i="22" s="1"/>
  <c r="Z76" i="22"/>
  <c r="Y76" i="22" s="1"/>
  <c r="Z129" i="22"/>
  <c r="Y129" i="22" s="1"/>
  <c r="Z333" i="22"/>
  <c r="Y333" i="22" s="1"/>
  <c r="Z280" i="22"/>
  <c r="Y280" i="22" s="1"/>
  <c r="Z73" i="22"/>
  <c r="Y73" i="22" s="1"/>
  <c r="Z293" i="22"/>
  <c r="Y293" i="22" s="1"/>
  <c r="Z33" i="22"/>
  <c r="Y33" i="22" s="1"/>
  <c r="Z72" i="22"/>
  <c r="Y72" i="22" s="1"/>
  <c r="Z250" i="22"/>
  <c r="Y250" i="22" s="1"/>
  <c r="Z30" i="22"/>
  <c r="Y30" i="22" s="1"/>
  <c r="Z263" i="22"/>
  <c r="Y263" i="22" s="1"/>
  <c r="Z116" i="22"/>
  <c r="Y116" i="22" s="1"/>
  <c r="Z320" i="22"/>
  <c r="Y320" i="22" s="1"/>
  <c r="Z92" i="22"/>
  <c r="Y92" i="22" s="1"/>
  <c r="Z130" i="22"/>
  <c r="Y130" i="22" s="1"/>
  <c r="Z123" i="22"/>
  <c r="Y123" i="22" s="1"/>
  <c r="Z70" i="22"/>
  <c r="Y70" i="22" s="1"/>
  <c r="Z83" i="22"/>
  <c r="Y83" i="22" s="1"/>
  <c r="Z29" i="22"/>
  <c r="Y29" i="22" s="1"/>
  <c r="Z138" i="22"/>
  <c r="Y138" i="22" s="1"/>
  <c r="Z59" i="22"/>
  <c r="Y59" i="22" s="1"/>
  <c r="Z122" i="22"/>
  <c r="Y122" i="22" s="1"/>
  <c r="Z62" i="22"/>
  <c r="Y62" i="22" s="1"/>
  <c r="Z79" i="22"/>
  <c r="Y79" i="22" s="1"/>
  <c r="Z14" i="22"/>
  <c r="Y14" i="22" s="1"/>
  <c r="Z88" i="22"/>
  <c r="Y88" i="22" s="1"/>
  <c r="Z87" i="22"/>
  <c r="Y87" i="22" s="1"/>
  <c r="Z135" i="22"/>
  <c r="Y135" i="22" s="1"/>
  <c r="Z307" i="22"/>
  <c r="Y307" i="22" s="1"/>
  <c r="Z34" i="22"/>
  <c r="Y34" i="22" s="1"/>
  <c r="Z86" i="22"/>
  <c r="Y86" i="22" s="1"/>
  <c r="Z265" i="22"/>
  <c r="Y265" i="22" s="1"/>
  <c r="Z127" i="22"/>
  <c r="Y127" i="22" s="1"/>
  <c r="Z140" i="22"/>
  <c r="Y140" i="22" s="1"/>
  <c r="Z321" i="22"/>
  <c r="Y321" i="22" s="1"/>
  <c r="Z294" i="22"/>
  <c r="Y294" i="22" s="1"/>
  <c r="Z141" i="22"/>
  <c r="Y141" i="22" s="1"/>
  <c r="Z8" i="22"/>
  <c r="Y8" i="22" s="1"/>
  <c r="Z319" i="22"/>
  <c r="Y319" i="22" s="1"/>
  <c r="Z308" i="22"/>
  <c r="Y308" i="22" s="1"/>
  <c r="Z90" i="22"/>
  <c r="Y90" i="22" s="1"/>
  <c r="Z133" i="22"/>
  <c r="Y133" i="22" s="1"/>
  <c r="Z131" i="22"/>
  <c r="Y131" i="22" s="1"/>
  <c r="Z26" i="22"/>
  <c r="Y26" i="22" s="1"/>
  <c r="Z6" i="22"/>
  <c r="Y6" i="22" s="1"/>
  <c r="AI127" i="22"/>
  <c r="W185" i="15"/>
  <c r="V185" i="15" s="1"/>
  <c r="W66" i="15"/>
  <c r="V66" i="15" s="1"/>
  <c r="W122" i="15"/>
  <c r="V122" i="15" s="1"/>
  <c r="W70" i="15"/>
  <c r="V70" i="15" s="1"/>
  <c r="W20" i="15"/>
  <c r="V20" i="15" s="1"/>
  <c r="W248" i="15"/>
  <c r="V248" i="15" s="1"/>
  <c r="W59" i="15"/>
  <c r="V59" i="15" s="1"/>
  <c r="W118" i="15"/>
  <c r="V118" i="15" s="1"/>
  <c r="W266" i="15"/>
  <c r="V266" i="15" s="1"/>
  <c r="W116" i="15"/>
  <c r="V116" i="15" s="1"/>
  <c r="W164" i="15"/>
  <c r="V164" i="15" s="1"/>
  <c r="W121" i="15"/>
  <c r="V121" i="15" s="1"/>
  <c r="W25" i="15"/>
  <c r="V25" i="15" s="1"/>
  <c r="W67" i="15"/>
  <c r="V67" i="15" s="1"/>
  <c r="W117" i="15"/>
  <c r="V117" i="15" s="1"/>
  <c r="W246" i="15"/>
  <c r="V246" i="15" s="1"/>
  <c r="W64" i="15"/>
  <c r="V64" i="15" s="1"/>
  <c r="W58" i="15"/>
  <c r="V58" i="15" s="1"/>
  <c r="W125" i="15"/>
  <c r="V125" i="15" s="1"/>
  <c r="W123" i="15"/>
  <c r="V123" i="15" s="1"/>
  <c r="W184" i="15"/>
  <c r="V184" i="15" s="1"/>
  <c r="W61" i="15"/>
  <c r="V61" i="15" s="1"/>
  <c r="W126" i="15"/>
  <c r="V126" i="15" s="1"/>
  <c r="W22" i="15"/>
  <c r="V22" i="15" s="1"/>
  <c r="W69" i="15"/>
  <c r="V69" i="15" s="1"/>
  <c r="W57" i="15"/>
  <c r="V57" i="15" s="1"/>
  <c r="W165" i="15"/>
  <c r="V165" i="15" s="1"/>
  <c r="W134" i="15"/>
  <c r="V134" i="15" s="1"/>
  <c r="W74" i="15"/>
  <c r="V74" i="15" s="1"/>
  <c r="W127" i="15"/>
  <c r="V127" i="15" s="1"/>
  <c r="W120" i="15"/>
  <c r="V120" i="15" s="1"/>
  <c r="W73" i="15"/>
  <c r="V73" i="15" s="1"/>
  <c r="W71" i="15"/>
  <c r="V71" i="15" s="1"/>
  <c r="W26" i="15"/>
  <c r="V26" i="15" s="1"/>
  <c r="W68" i="15"/>
  <c r="V68" i="15" s="1"/>
  <c r="W285" i="15"/>
  <c r="V285" i="15" s="1"/>
  <c r="W247" i="15"/>
  <c r="V247" i="15" s="1"/>
  <c r="W72" i="15"/>
  <c r="V72" i="15" s="1"/>
  <c r="W267" i="15"/>
  <c r="V267" i="15" s="1"/>
  <c r="W133" i="15"/>
  <c r="V133" i="15" s="1"/>
  <c r="W60" i="15"/>
  <c r="V60" i="15" s="1"/>
  <c r="W65" i="15"/>
  <c r="V65" i="15" s="1"/>
  <c r="W183" i="15"/>
  <c r="V183" i="15" s="1"/>
  <c r="W132" i="15"/>
  <c r="V132" i="15" s="1"/>
  <c r="W129" i="15"/>
  <c r="V129" i="15" s="1"/>
  <c r="W119" i="15"/>
  <c r="V119" i="15" s="1"/>
  <c r="W62" i="15"/>
  <c r="V62" i="15" s="1"/>
  <c r="W131" i="15"/>
  <c r="V131" i="15" s="1"/>
  <c r="W130" i="15"/>
  <c r="V130" i="15" s="1"/>
  <c r="W63" i="15"/>
  <c r="V63" i="15" s="1"/>
  <c r="W23" i="15"/>
  <c r="V23" i="15" s="1"/>
  <c r="W163" i="15"/>
  <c r="V163" i="15" s="1"/>
  <c r="W124" i="15"/>
  <c r="V124" i="15" s="1"/>
  <c r="Z66" i="22" l="1"/>
  <c r="Y66" i="22" s="1"/>
  <c r="X21" i="22"/>
  <c r="Z121" i="22"/>
  <c r="Y121" i="22" s="1"/>
  <c r="Z318" i="22"/>
  <c r="Y318" i="22" s="1"/>
  <c r="X19" i="22"/>
  <c r="Z175" i="22"/>
  <c r="Y175" i="22" s="1"/>
  <c r="X124" i="22"/>
  <c r="X173" i="22"/>
  <c r="Z168" i="22"/>
  <c r="Y168" i="22" s="1"/>
  <c r="Z276" i="22"/>
  <c r="Y276" i="22" s="1"/>
  <c r="Z128" i="22"/>
  <c r="Y128" i="22" s="1"/>
  <c r="X24" i="22"/>
  <c r="X119" i="22"/>
  <c r="X10" i="22"/>
  <c r="Z68" i="22"/>
  <c r="Y68" i="22" s="1"/>
  <c r="X125" i="22"/>
  <c r="X276" i="22"/>
  <c r="X18" i="22"/>
  <c r="X178" i="22"/>
  <c r="X63" i="22"/>
  <c r="X81" i="22"/>
  <c r="Z63" i="22"/>
  <c r="Y63" i="22" s="1"/>
  <c r="X9" i="22"/>
  <c r="X168" i="22"/>
  <c r="Z16" i="22"/>
  <c r="Y16" i="22" s="1"/>
  <c r="Z115" i="22"/>
  <c r="Y115" i="22" s="1"/>
  <c r="Z60" i="22"/>
  <c r="Y60" i="22" s="1"/>
  <c r="Z167" i="22"/>
  <c r="Y167" i="22" s="1"/>
  <c r="Z75" i="22"/>
  <c r="Y75" i="22" s="1"/>
  <c r="Z51" i="25"/>
  <c r="Y51" i="25" s="1"/>
  <c r="Z117" i="25"/>
  <c r="Y117" i="25" s="1"/>
  <c r="X46" i="25"/>
  <c r="Z306" i="22"/>
  <c r="Y306" i="22" s="1"/>
  <c r="Z17" i="22"/>
  <c r="Y17" i="22" s="1"/>
  <c r="X68" i="22"/>
  <c r="Z49" i="25"/>
  <c r="Y49" i="25" s="1"/>
  <c r="X16" i="25"/>
  <c r="Z12" i="22"/>
  <c r="Y12" i="22" s="1"/>
  <c r="Z11" i="22"/>
  <c r="Y11" i="22" s="1"/>
  <c r="Z278" i="22"/>
  <c r="Y278" i="22" s="1"/>
  <c r="X56" i="25"/>
  <c r="Z26" i="25"/>
  <c r="Y26" i="25" s="1"/>
  <c r="X88" i="25"/>
  <c r="X87" i="25"/>
  <c r="Z11" i="25"/>
  <c r="Y11" i="25" s="1"/>
  <c r="X45" i="25"/>
  <c r="X61" i="25"/>
  <c r="Z63" i="25"/>
  <c r="Y63" i="25" s="1"/>
  <c r="Z19" i="25"/>
  <c r="Y19" i="25" s="1"/>
  <c r="Z10" i="25"/>
  <c r="Y10" i="25" s="1"/>
  <c r="X8" i="25"/>
  <c r="Z98" i="25"/>
  <c r="Y98" i="25" s="1"/>
  <c r="X15" i="25"/>
  <c r="X96" i="25"/>
  <c r="Z18" i="25"/>
  <c r="Y18" i="25" s="1"/>
  <c r="Z124" i="25"/>
  <c r="Y124" i="25" s="1"/>
  <c r="X25" i="25"/>
  <c r="H229" i="25"/>
  <c r="X229" i="25" s="1"/>
  <c r="X85" i="25"/>
  <c r="X17" i="25"/>
  <c r="Z77" i="22"/>
  <c r="Y77" i="22" s="1"/>
  <c r="Z171" i="22"/>
  <c r="Y171" i="22" s="1"/>
  <c r="X126" i="22"/>
  <c r="X7" i="22"/>
  <c r="Z58" i="22"/>
  <c r="Y58" i="22" s="1"/>
  <c r="X11" i="22"/>
  <c r="X20" i="22"/>
  <c r="X278" i="22"/>
  <c r="X67" i="22"/>
  <c r="X16" i="22"/>
  <c r="Z331" i="22"/>
  <c r="Y331" i="22" s="1"/>
  <c r="Z69" i="22"/>
  <c r="Y69" i="22" s="1"/>
  <c r="X120" i="22"/>
  <c r="X177" i="22"/>
  <c r="Z25" i="22"/>
  <c r="Y25" i="22" s="1"/>
  <c r="Z166" i="22"/>
  <c r="Y166" i="22" s="1"/>
  <c r="X117" i="22"/>
  <c r="Z119" i="22"/>
  <c r="Y119" i="22" s="1"/>
  <c r="Z277" i="22"/>
  <c r="Y277" i="22" s="1"/>
  <c r="Z292" i="22"/>
  <c r="Y292" i="22" s="1"/>
  <c r="Z261" i="22"/>
  <c r="Y261" i="22" s="1"/>
  <c r="X78" i="22"/>
  <c r="X164" i="22"/>
  <c r="H305" i="22"/>
  <c r="X176" i="22"/>
  <c r="Z172" i="22"/>
  <c r="Y172" i="22" s="1"/>
  <c r="X290" i="22"/>
  <c r="Z290" i="22"/>
  <c r="Y290" i="22" s="1"/>
  <c r="X191" i="25"/>
  <c r="Z191" i="25"/>
  <c r="Y191" i="25" s="1"/>
  <c r="Z181" i="25"/>
  <c r="Y181" i="25" s="1"/>
  <c r="X181" i="25"/>
  <c r="Z54" i="25"/>
  <c r="Y54" i="25" s="1"/>
  <c r="X54" i="25"/>
  <c r="X22" i="25"/>
  <c r="Z22" i="25"/>
  <c r="Y22" i="25" s="1"/>
  <c r="Z248" i="22"/>
  <c r="Y248" i="22" s="1"/>
  <c r="X13" i="25"/>
  <c r="Z13" i="25"/>
  <c r="Y13" i="25" s="1"/>
  <c r="X50" i="25"/>
  <c r="Z50" i="25"/>
  <c r="Y50" i="25" s="1"/>
  <c r="X190" i="25"/>
  <c r="Z190" i="25"/>
  <c r="Y190" i="25" s="1"/>
  <c r="X23" i="25"/>
  <c r="Z23" i="25"/>
  <c r="Y23" i="25" s="1"/>
  <c r="X20" i="25"/>
  <c r="Z20" i="25"/>
  <c r="Y20" i="25" s="1"/>
  <c r="X202" i="25"/>
  <c r="Z202" i="25"/>
  <c r="Y202" i="25" s="1"/>
  <c r="X378" i="22"/>
  <c r="Z378" i="22"/>
  <c r="Y378" i="22" s="1"/>
  <c r="X47" i="25"/>
  <c r="Z47" i="25"/>
  <c r="Y47" i="25" s="1"/>
  <c r="X17" i="22"/>
  <c r="Z58" i="25"/>
  <c r="Y58" i="25" s="1"/>
  <c r="X58" i="25"/>
  <c r="X21" i="25"/>
  <c r="Z21" i="25"/>
  <c r="Y21" i="25" s="1"/>
  <c r="X44" i="25"/>
  <c r="Z44" i="25"/>
  <c r="Y44" i="25" s="1"/>
  <c r="Z127" i="25"/>
  <c r="Y127" i="25" s="1"/>
  <c r="X127" i="25"/>
  <c r="X180" i="25"/>
  <c r="Z180" i="25"/>
  <c r="X93" i="25"/>
  <c r="Z93" i="25"/>
  <c r="Y93" i="25" s="1"/>
  <c r="Z291" i="22"/>
  <c r="Y291" i="22" s="1"/>
  <c r="Z10" i="22"/>
  <c r="Y10" i="22" s="1"/>
  <c r="Y6" i="25"/>
  <c r="Z53" i="25"/>
  <c r="Y53" i="25" s="1"/>
  <c r="X53" i="25"/>
  <c r="Z55" i="25"/>
  <c r="Y55" i="25" s="1"/>
  <c r="X55" i="25"/>
  <c r="X201" i="25"/>
  <c r="Z201" i="25"/>
  <c r="Y201" i="25" s="1"/>
  <c r="X62" i="25"/>
  <c r="Z62" i="25"/>
  <c r="Y62" i="25" s="1"/>
  <c r="Z89" i="25"/>
  <c r="Y89" i="25" s="1"/>
  <c r="X89" i="25"/>
  <c r="Z7" i="25"/>
  <c r="Y7" i="25" s="1"/>
  <c r="X7" i="25"/>
  <c r="Z60" i="25"/>
  <c r="Y60" i="25" s="1"/>
  <c r="X60" i="25"/>
  <c r="Z216" i="25"/>
  <c r="Y216" i="25" s="1"/>
  <c r="X216" i="25"/>
  <c r="X94" i="25"/>
  <c r="Z94" i="25"/>
  <c r="Y94" i="25" s="1"/>
  <c r="X9" i="25"/>
  <c r="Z9" i="25"/>
  <c r="Y9" i="25" s="1"/>
  <c r="X217" i="25"/>
  <c r="Z217" i="25"/>
  <c r="Y217" i="25" s="1"/>
  <c r="X118" i="25"/>
  <c r="Z118" i="25"/>
  <c r="Y118" i="25" s="1"/>
  <c r="Z239" i="25"/>
  <c r="Y239" i="25" s="1"/>
  <c r="X239" i="25"/>
  <c r="Z203" i="25"/>
  <c r="Y203" i="25" s="1"/>
  <c r="X203" i="25"/>
  <c r="X90" i="25"/>
  <c r="Z90" i="25"/>
  <c r="Y90" i="25" s="1"/>
  <c r="X125" i="25"/>
  <c r="Z125" i="25"/>
  <c r="Y125" i="25" s="1"/>
  <c r="X121" i="25"/>
  <c r="Z121" i="25"/>
  <c r="Y121" i="25" s="1"/>
  <c r="Z249" i="25"/>
  <c r="Y249" i="25" s="1"/>
  <c r="X249" i="25"/>
  <c r="Z129" i="25"/>
  <c r="Y129" i="25" s="1"/>
  <c r="X129" i="25"/>
  <c r="Z92" i="25"/>
  <c r="Y92" i="25" s="1"/>
  <c r="X92" i="25"/>
  <c r="X215" i="25"/>
  <c r="Z215" i="25"/>
  <c r="Z48" i="25"/>
  <c r="Y48" i="25" s="1"/>
  <c r="X48" i="25"/>
  <c r="X84" i="25"/>
  <c r="Z84" i="25"/>
  <c r="Y84" i="25" s="1"/>
  <c r="X126" i="25"/>
  <c r="Z126" i="25"/>
  <c r="Y126" i="25" s="1"/>
  <c r="Z86" i="25"/>
  <c r="Y86" i="25" s="1"/>
  <c r="X86" i="25"/>
  <c r="Z122" i="25"/>
  <c r="Y122" i="25" s="1"/>
  <c r="X122" i="25"/>
  <c r="X95" i="25"/>
  <c r="Z95" i="25"/>
  <c r="Y95" i="25" s="1"/>
  <c r="Z116" i="25"/>
  <c r="Y116" i="25" s="1"/>
  <c r="X116" i="25"/>
  <c r="Z52" i="25"/>
  <c r="Y52" i="25" s="1"/>
  <c r="X52" i="25"/>
  <c r="X97" i="25"/>
  <c r="Z97" i="25"/>
  <c r="Y97" i="25" s="1"/>
  <c r="Z13" i="22"/>
  <c r="Y13" i="22" s="1"/>
  <c r="H260" i="22"/>
  <c r="X260" i="22" s="1"/>
  <c r="Z249" i="22"/>
  <c r="Y249" i="22" s="1"/>
  <c r="Z18" i="22"/>
  <c r="Y18" i="22" s="1"/>
  <c r="Z27" i="22"/>
  <c r="Y27" i="22" s="1"/>
  <c r="Z31" i="22"/>
  <c r="Y31" i="22" s="1"/>
  <c r="Z23" i="22"/>
  <c r="Y23" i="22" s="1"/>
  <c r="Z229" i="25" l="1"/>
  <c r="Y229" i="25" s="1"/>
  <c r="AC181" i="22"/>
  <c r="Z305" i="22"/>
  <c r="Y305" i="22" s="1"/>
  <c r="AE101" i="25"/>
  <c r="AE108" i="25" s="1"/>
  <c r="AD101" i="25"/>
  <c r="Y180" i="25"/>
  <c r="AC101" i="25"/>
  <c r="AC108" i="25" s="1"/>
  <c r="AE133" i="25"/>
  <c r="Y215" i="25"/>
  <c r="AC133" i="25"/>
  <c r="AH101" i="25"/>
  <c r="AH108" i="25" s="1"/>
  <c r="Z260" i="22"/>
  <c r="Y260" i="22" s="1"/>
  <c r="AG181" i="22" l="1"/>
  <c r="AH181" i="22"/>
  <c r="AE132" i="22"/>
  <c r="AE156" i="22" s="1"/>
  <c r="AD132" i="22"/>
  <c r="AD156" i="22" s="1"/>
  <c r="AM156" i="22" s="1"/>
  <c r="AG132" i="22"/>
  <c r="AG156" i="22" s="1"/>
  <c r="AF132" i="22"/>
  <c r="AF156" i="22" s="1"/>
  <c r="AD133" i="25"/>
  <c r="AG133" i="25"/>
  <c r="AH133" i="25"/>
  <c r="AF101" i="25"/>
  <c r="AF108" i="25" s="1"/>
  <c r="AF133" i="25"/>
  <c r="AG101" i="25"/>
  <c r="AG108" i="25" s="1"/>
  <c r="AD181" i="22"/>
  <c r="AC132" i="22"/>
  <c r="AC156" i="22" s="1"/>
  <c r="AF181" i="22"/>
  <c r="AE181" i="22"/>
  <c r="AH132" i="22"/>
  <c r="AH156" i="22" s="1"/>
  <c r="AD108" i="25"/>
  <c r="AM108" i="25" s="1"/>
  <c r="AM133" i="25" l="1"/>
  <c r="AM134" i="25" s="1"/>
  <c r="AM101" i="25"/>
  <c r="AM102" i="25" s="1"/>
  <c r="AM181" i="22"/>
  <c r="AM182" i="22" s="1"/>
  <c r="AM132" i="22"/>
  <c r="AM133" i="22" s="1"/>
  <c r="X456" i="22" l="1"/>
</calcChain>
</file>

<file path=xl/sharedStrings.xml><?xml version="1.0" encoding="utf-8"?>
<sst xmlns="http://schemas.openxmlformats.org/spreadsheetml/2006/main" count="24815" uniqueCount="709">
  <si>
    <t>Pos</t>
  </si>
  <si>
    <t>PILOTO</t>
  </si>
  <si>
    <t>Clase</t>
  </si>
  <si>
    <t>RM</t>
  </si>
  <si>
    <t>PARTICIPACIÓN</t>
  </si>
  <si>
    <t>Líder de Clase</t>
  </si>
  <si>
    <t>P</t>
  </si>
  <si>
    <t>Líder 2 RM</t>
  </si>
  <si>
    <t>PARTICIPANTES</t>
  </si>
  <si>
    <t>TOTAL</t>
  </si>
  <si>
    <t>madrileños</t>
  </si>
  <si>
    <t>foraneos</t>
  </si>
  <si>
    <t>INSCRITOS</t>
  </si>
  <si>
    <t>clasificados</t>
  </si>
  <si>
    <t>retirados</t>
  </si>
  <si>
    <t>AUTORIZADOS</t>
  </si>
  <si>
    <t>pilotos participantes</t>
  </si>
  <si>
    <t>1 part.</t>
  </si>
  <si>
    <t>2 part.</t>
  </si>
  <si>
    <t>3 part.</t>
  </si>
  <si>
    <t>4 part.</t>
  </si>
  <si>
    <t>5 part.</t>
  </si>
  <si>
    <t>pilotos madrileños</t>
  </si>
  <si>
    <t>4x4</t>
  </si>
  <si>
    <t>2RM</t>
  </si>
  <si>
    <t>Clase 1</t>
  </si>
  <si>
    <t>Clase 2</t>
  </si>
  <si>
    <t>Clase 3</t>
  </si>
  <si>
    <t>Clase 4</t>
  </si>
  <si>
    <t>Clase 5</t>
  </si>
  <si>
    <t>Clase 6</t>
  </si>
  <si>
    <t>S/C</t>
  </si>
  <si>
    <t>PROMEDIO</t>
  </si>
  <si>
    <t>sct</t>
  </si>
  <si>
    <t>cl</t>
  </si>
  <si>
    <t>total</t>
  </si>
  <si>
    <t>TC
Paracuellos</t>
  </si>
  <si>
    <t>TC
Valdelaguna</t>
  </si>
  <si>
    <t>TC Dehesa</t>
  </si>
  <si>
    <t xml:space="preserve">TC Cobeña </t>
  </si>
  <si>
    <t>TC Ceramica</t>
  </si>
  <si>
    <t>TC Madrid</t>
  </si>
  <si>
    <t>Clase 7</t>
  </si>
  <si>
    <t>CAMPEONATO MADRILEÑO DE TIERRA</t>
  </si>
  <si>
    <t>PART</t>
  </si>
  <si>
    <t>MEDIA  TOTAL</t>
  </si>
  <si>
    <t>foráneos</t>
  </si>
  <si>
    <t>inscritos</t>
  </si>
  <si>
    <t>CC-2</t>
  </si>
  <si>
    <t>xxx pilotos</t>
  </si>
  <si>
    <t>1 pr.</t>
  </si>
  <si>
    <t>2 pr.</t>
  </si>
  <si>
    <t>3 pr.</t>
  </si>
  <si>
    <t>4 pr.</t>
  </si>
  <si>
    <t>5 pr.</t>
  </si>
  <si>
    <t>6 pr.</t>
  </si>
  <si>
    <t>7 pr.</t>
  </si>
  <si>
    <t>8 pr.</t>
  </si>
  <si>
    <t>58 madrileños</t>
  </si>
  <si>
    <t>Clase 1 - 12</t>
  </si>
  <si>
    <t>Clase 2 - 9</t>
  </si>
  <si>
    <t>Clase 3 - 13</t>
  </si>
  <si>
    <t>Clase 4 - 7</t>
  </si>
  <si>
    <t>Clase 5 - 8</t>
  </si>
  <si>
    <t>Clase 6 -2</t>
  </si>
  <si>
    <t>Clase 7 - 7</t>
  </si>
  <si>
    <t>0 s/c</t>
  </si>
  <si>
    <t>R. Paracuellos</t>
  </si>
  <si>
    <t>RS 
Valdelag</t>
  </si>
  <si>
    <t>RS SevillaNueva</t>
  </si>
  <si>
    <t>R. Madrid</t>
  </si>
  <si>
    <t>2 RM-45</t>
  </si>
  <si>
    <t>4WD-7</t>
  </si>
  <si>
    <t>CC-0</t>
  </si>
  <si>
    <t>52 madrileños</t>
  </si>
  <si>
    <t>Clase 2 - 8</t>
  </si>
  <si>
    <t xml:space="preserve">Clase 3 - 8 </t>
  </si>
  <si>
    <t>Clase 4 - 6</t>
  </si>
  <si>
    <t>Clase 5 - 3</t>
  </si>
  <si>
    <t>Clase 6 - 1</t>
  </si>
  <si>
    <t>Clase 7 - 12</t>
  </si>
  <si>
    <t>2 s/c</t>
  </si>
  <si>
    <t>Rs El Molar</t>
  </si>
  <si>
    <t>TC 
Cobeña</t>
  </si>
  <si>
    <t>TC 
Navalcarnero</t>
  </si>
  <si>
    <t>TC 
Ajalvir</t>
  </si>
  <si>
    <t>TC 
Arganda</t>
  </si>
  <si>
    <t>2 RM-42</t>
  </si>
  <si>
    <t>4WD-9</t>
  </si>
  <si>
    <t>51 madrileños</t>
  </si>
  <si>
    <t>Clase 1 - 9</t>
  </si>
  <si>
    <t>Clase 2 - 10</t>
  </si>
  <si>
    <t xml:space="preserve">Clase 3 - 11 </t>
  </si>
  <si>
    <t>Clase 4 - 4</t>
  </si>
  <si>
    <t>Clase 5 - 5</t>
  </si>
  <si>
    <t>Clase 6 - 2</t>
  </si>
  <si>
    <t>Clase 7 - 11</t>
  </si>
  <si>
    <t>1 s/c</t>
  </si>
  <si>
    <t>Loeches</t>
  </si>
  <si>
    <t>El Molar</t>
  </si>
  <si>
    <t>Guadamur</t>
  </si>
  <si>
    <t xml:space="preserve">Navalca </t>
  </si>
  <si>
    <t>C1</t>
  </si>
  <si>
    <t>C2</t>
  </si>
  <si>
    <t>C3</t>
  </si>
  <si>
    <t>2 RM-36</t>
  </si>
  <si>
    <t>C4</t>
  </si>
  <si>
    <t>C5</t>
  </si>
  <si>
    <t>CC-4</t>
  </si>
  <si>
    <t>C6</t>
  </si>
  <si>
    <t>49 madrileños</t>
  </si>
  <si>
    <t>2 RM-32</t>
  </si>
  <si>
    <t>CC-15</t>
  </si>
  <si>
    <t>56 madrileños</t>
  </si>
  <si>
    <t>Paracuellos</t>
  </si>
  <si>
    <t>Navalca I</t>
  </si>
  <si>
    <t>Cuenca</t>
  </si>
  <si>
    <t>Navalca II</t>
  </si>
  <si>
    <t>Malpartida</t>
  </si>
  <si>
    <t>2 RM-35</t>
  </si>
  <si>
    <t>CC-19</t>
  </si>
  <si>
    <t>95 pilotos</t>
  </si>
  <si>
    <t>63  madrileños</t>
  </si>
  <si>
    <t>Villacon.</t>
  </si>
  <si>
    <t>Sev Nuev</t>
  </si>
  <si>
    <t>Navalca.</t>
  </si>
  <si>
    <t>Cobeña</t>
  </si>
  <si>
    <t>Guadam</t>
  </si>
  <si>
    <t>4WD-12</t>
  </si>
  <si>
    <t>163pilotos</t>
  </si>
  <si>
    <t>Cl 1</t>
  </si>
  <si>
    <t>Cl 2</t>
  </si>
  <si>
    <t>Cl 3</t>
  </si>
  <si>
    <t>Cl 4</t>
  </si>
  <si>
    <t>Cl 5</t>
  </si>
  <si>
    <t>Cl 6</t>
  </si>
  <si>
    <t>4WD-10</t>
  </si>
  <si>
    <t>2 RM-57</t>
  </si>
  <si>
    <t>2 RM-41</t>
  </si>
  <si>
    <t>4WD-15</t>
  </si>
  <si>
    <t>Clase 1 - 13</t>
  </si>
  <si>
    <t>Clase 2 - 15</t>
  </si>
  <si>
    <t>Clase 3 - 11</t>
  </si>
  <si>
    <t>Clase 4 - 11</t>
  </si>
  <si>
    <t>Clase 5 - 0</t>
  </si>
  <si>
    <t>Clase 6 -10</t>
  </si>
  <si>
    <t>TC V. del Pardillo</t>
  </si>
  <si>
    <t>R. Madird</t>
  </si>
  <si>
    <t>67 madrileños</t>
  </si>
  <si>
    <t>TC
N. Baztan</t>
  </si>
  <si>
    <t>TC Campo Real</t>
  </si>
  <si>
    <t>TC Ajalvir</t>
  </si>
  <si>
    <t>54 madrileños</t>
  </si>
  <si>
    <t>Clase 1 - 8</t>
  </si>
  <si>
    <t>Clase 2 - 12</t>
  </si>
  <si>
    <t>Clase 5 - 6</t>
  </si>
  <si>
    <t>Clase 6 -6</t>
  </si>
  <si>
    <t>Clase 7 - 4</t>
  </si>
  <si>
    <t>TCT
Pezuela</t>
  </si>
  <si>
    <t>TCT Baztan</t>
  </si>
  <si>
    <t>TCT Guadamur</t>
  </si>
  <si>
    <t>DATOS COMPARATIVOS</t>
  </si>
  <si>
    <t>Evolucion promedio inscripciones prueba</t>
  </si>
  <si>
    <t>Partic. Absoluta de pilotos madrileños Cto.</t>
  </si>
  <si>
    <t>Part. Por clase</t>
  </si>
  <si>
    <t>Nº pruebas puntuables</t>
  </si>
  <si>
    <t>COPILOTO</t>
  </si>
  <si>
    <t>CLASE</t>
  </si>
  <si>
    <t>M</t>
  </si>
  <si>
    <t>ESCUDERIA CENTRO</t>
  </si>
  <si>
    <t>PEUGEOT 208 VTI R2</t>
  </si>
  <si>
    <t>LA RUINA RACING</t>
  </si>
  <si>
    <t>CLUB JARAMA SPORT</t>
  </si>
  <si>
    <t>CM</t>
  </si>
  <si>
    <t>JAVIER ENCINAS ALARZA</t>
  </si>
  <si>
    <t>RASANTE SPORT</t>
  </si>
  <si>
    <t>TOYOTA AYGO N3</t>
  </si>
  <si>
    <t>HYUNDAI ACCENT</t>
  </si>
  <si>
    <t>VOLKSWAGEN GOLF</t>
  </si>
  <si>
    <t>AB</t>
  </si>
  <si>
    <t>Clase 1 - 7</t>
  </si>
  <si>
    <t>Clase 2 - 14</t>
  </si>
  <si>
    <t>Clase 3 - 17</t>
  </si>
  <si>
    <t>Clase 4 - 8</t>
  </si>
  <si>
    <t>Clase 7 - 2</t>
  </si>
  <si>
    <t>CAMPEONATO DE TIERRA 2023</t>
  </si>
  <si>
    <t>SSV</t>
  </si>
  <si>
    <t>TT</t>
  </si>
  <si>
    <t>MAN F2000 422</t>
  </si>
  <si>
    <t>ESCUDERÍA 1000 LAGOS</t>
  </si>
  <si>
    <t>POS</t>
  </si>
  <si>
    <t>Nº</t>
  </si>
  <si>
    <t>Escudería</t>
  </si>
  <si>
    <t>Piloto</t>
  </si>
  <si>
    <t>Fed.</t>
  </si>
  <si>
    <t>Copiloto</t>
  </si>
  <si>
    <t>Fed.2</t>
  </si>
  <si>
    <t>Vehículo</t>
  </si>
  <si>
    <t>Grupo</t>
  </si>
  <si>
    <t>Tiempo</t>
  </si>
  <si>
    <t>4RM</t>
  </si>
  <si>
    <t>PEUGEOT 206</t>
  </si>
  <si>
    <t xml:space="preserve">CAMION </t>
  </si>
  <si>
    <t>Camiones</t>
  </si>
  <si>
    <t>Rs.
Pezuela</t>
  </si>
  <si>
    <t>Rs. Guadamur</t>
  </si>
  <si>
    <t>Tct
Mejorada</t>
  </si>
  <si>
    <t>R. ACTronics</t>
  </si>
  <si>
    <t>TCT Nuevo Baztan</t>
  </si>
  <si>
    <t>RESUMEN 
PARTICIPACIÓN 2023</t>
  </si>
  <si>
    <t>COMPARATIVA  PARTICIPACIÓN   2013 - 2023</t>
  </si>
  <si>
    <t>TCT Mejorada</t>
  </si>
  <si>
    <t>DAVID DE LA OSA SANJUAN</t>
  </si>
  <si>
    <t xml:space="preserve"> </t>
  </si>
  <si>
    <t>CLAS SCRATCH</t>
  </si>
  <si>
    <t>SCRATCH</t>
  </si>
  <si>
    <t>Puntos</t>
  </si>
  <si>
    <t>Puntos scratch</t>
  </si>
  <si>
    <t>Puntos clase</t>
  </si>
  <si>
    <t>Suma de comprobación</t>
  </si>
  <si>
    <t>RS ALCARRIA</t>
  </si>
  <si>
    <t xml:space="preserve">RS GUADAMUR </t>
  </si>
  <si>
    <t>TCT N. BAZTÁN</t>
  </si>
  <si>
    <t>¿CLASIFICA?</t>
  </si>
  <si>
    <r>
      <t xml:space="preserve">CLASIFICACIÓN </t>
    </r>
    <r>
      <rPr>
        <b/>
        <sz val="10"/>
        <color rgb="FFFF0000"/>
        <rFont val="Calibri"/>
        <family val="2"/>
        <scheme val="minor"/>
      </rPr>
      <t>PROVISIONAL</t>
    </r>
    <r>
      <rPr>
        <b/>
        <sz val="10"/>
        <color rgb="FF000000"/>
        <rFont val="Calibri"/>
        <family val="2"/>
        <scheme val="minor"/>
      </rPr>
      <t xml:space="preserve"> GENERAL DE PILOTOS</t>
    </r>
  </si>
  <si>
    <t>MIGUEL SÁNCHEZ DIEZMA</t>
  </si>
  <si>
    <t>MANUEL GÓMEZ-MANZANILLA ARRABAL</t>
  </si>
  <si>
    <t>Piloto2</t>
  </si>
  <si>
    <t>CLAS SCRATCH2</t>
  </si>
  <si>
    <t>Puntos scratch3</t>
  </si>
  <si>
    <t>Puntos clase5</t>
  </si>
  <si>
    <t>Suma de comprobación6</t>
  </si>
  <si>
    <t>ESCUDERÍA CENTRO</t>
  </si>
  <si>
    <t>ADRIÁN SÁNCHEZ CALVO</t>
  </si>
  <si>
    <t>JOSÉ MARÍA SAN JOSÉ ROMERO</t>
  </si>
  <si>
    <t>VÍCTOR MANUEL FERRERO SANZ</t>
  </si>
  <si>
    <t>CD TIERRAS DE CASTILLA</t>
  </si>
  <si>
    <t>MARTÍN LUMBRERAS MANRIQUE</t>
  </si>
  <si>
    <t>JUAN CARLOS AGUADO CUELLAR</t>
  </si>
  <si>
    <t>FORD FIESTA RALLY4</t>
  </si>
  <si>
    <t>ÁLVARO CRISTOBAL ESCALERO</t>
  </si>
  <si>
    <t>ALBERTO LUIS PÉREZ</t>
  </si>
  <si>
    <t>JULIO MARTÍN AGUDO</t>
  </si>
  <si>
    <t>JAIME TORO DURÁN</t>
  </si>
  <si>
    <t>JAIME MARIO GÓMEZ ARRIERO</t>
  </si>
  <si>
    <t>JOSÉ MARÍA GARCÍA SOLER</t>
  </si>
  <si>
    <t>ÁNGEL ALONSO MARÍN</t>
  </si>
  <si>
    <t>PEUGEOT 205</t>
  </si>
  <si>
    <t>CAT</t>
  </si>
  <si>
    <t>ANDRÉS LÓPEZ ARCHILLA</t>
  </si>
  <si>
    <t>CARLOS VALENTÍN SÁNCHEZ LLAGOSTERA</t>
  </si>
  <si>
    <t>CARLOS LÓPEZ HIDALGO</t>
  </si>
  <si>
    <t>ÓSCAR ENCINA LINUESA</t>
  </si>
  <si>
    <t>MIGUEL GÓMEZ PERALES</t>
  </si>
  <si>
    <t>CLAS CLASE</t>
  </si>
  <si>
    <t>CLAS CLASE2</t>
  </si>
  <si>
    <t>JULIÁN VERA CASTELLOTE</t>
  </si>
  <si>
    <t>JOSÉ LUIS CRESPILLO CALDERÓN</t>
  </si>
  <si>
    <t>SARA MARTÍN SÁNCHEZ</t>
  </si>
  <si>
    <t>PANTALEÓN RUBIO POZO</t>
  </si>
  <si>
    <t>CAMIONES TT</t>
  </si>
  <si>
    <t>COCHES TT</t>
  </si>
  <si>
    <t>Fed</t>
  </si>
  <si>
    <t>Fed2</t>
  </si>
  <si>
    <t>DANIEL RIVERA DE LA RED</t>
  </si>
  <si>
    <t>FERNANDO GIMÉNEZ MARTÍNEZ</t>
  </si>
  <si>
    <t>MITSUBISHI MONTERO D</t>
  </si>
  <si>
    <t>SANTIAGO BRAVO HERNÁNDEZ</t>
  </si>
  <si>
    <t>EDUARDO IZQUIERDO RODRÍGUEZ</t>
  </si>
  <si>
    <t>IVECO MP190E44W</t>
  </si>
  <si>
    <t>FRANCISCO DEL POZO MARTÍNEZ</t>
  </si>
  <si>
    <t>PARTICIPACIÓN POR CLASES TURISMOS</t>
  </si>
  <si>
    <t>CLASES</t>
  </si>
  <si>
    <t>NOMBRE (-)</t>
  </si>
  <si>
    <t>VERÓNICA DE LA VERA MARTÍN</t>
  </si>
  <si>
    <t>JOSÉ MARÍA CANO JIMÉNEZ</t>
  </si>
  <si>
    <t>SARA CANO JIMENO</t>
  </si>
  <si>
    <t>SERGIO CEREZO MARTÍN</t>
  </si>
  <si>
    <t>ÁLVARO GIL CARRETERO</t>
  </si>
  <si>
    <t>PEUGEOT 208</t>
  </si>
  <si>
    <t>CL</t>
  </si>
  <si>
    <t>ANTONIO OTERO MONTERO</t>
  </si>
  <si>
    <t>MARCOS MARTÍNEZ GONZÁLEZ</t>
  </si>
  <si>
    <t>RAUL CARRASCO SEGOVIA</t>
  </si>
  <si>
    <t>PABLO PASTOR VELÁZQUEZ</t>
  </si>
  <si>
    <t>ISAAC VERA ALBERRUCHE</t>
  </si>
  <si>
    <t>CAMPEONATO MADRILEÑO DE TIERRA 2025</t>
  </si>
  <si>
    <t>RS NAVALCARNERO</t>
  </si>
  <si>
    <t>15 FEBRERO</t>
  </si>
  <si>
    <t>5 ABRIL</t>
  </si>
  <si>
    <t>11 OCTUBRE</t>
  </si>
  <si>
    <t>8 NOVIEMBRE</t>
  </si>
  <si>
    <t>29 NOVIEMBRE</t>
  </si>
  <si>
    <t>REBECA ARELLANO DE PEDRO</t>
  </si>
  <si>
    <t>FORD FIESTA RALLY3</t>
  </si>
  <si>
    <t>MANUEL GÓMEZ-MANZANILLA JAVEGA</t>
  </si>
  <si>
    <t>RAUL FUENTES LÓPEZ</t>
  </si>
  <si>
    <t>DAVID RICO GALISTEO</t>
  </si>
  <si>
    <t>FORD ESCORT RS COSWORTH</t>
  </si>
  <si>
    <t>AUTOMÓVIL MADRIZ SPORT</t>
  </si>
  <si>
    <t>MANUEL SORIANO DÍAZ</t>
  </si>
  <si>
    <t>ADRIÁN SORIANO ARAGÓN</t>
  </si>
  <si>
    <t>PEUGEOT 205 GTI</t>
  </si>
  <si>
    <t>JOSÉ LUIS ALBUJAR BUSTAMANTE</t>
  </si>
  <si>
    <t>NSD SPORT</t>
  </si>
  <si>
    <t>VÍCTOR JOSÉ MONTES DE SANTOS</t>
  </si>
  <si>
    <t>CÉSAR COBOS MONTES</t>
  </si>
  <si>
    <t>BMW 325I (E30)</t>
  </si>
  <si>
    <t>ESCUDERÍA ETCÉTERA</t>
  </si>
  <si>
    <t>JAVIER ZAMORA MONREAL</t>
  </si>
  <si>
    <t>MANUEL ROMÁN MANCEBO SUÁREZ</t>
  </si>
  <si>
    <t>CARLOS ALBERTO GÓMEZ PEINADO</t>
  </si>
  <si>
    <t>CARLOS VELÁZQUEZ RODRÍGUEZ</t>
  </si>
  <si>
    <t>MARÍA GÓMEZ MARTÍNEZ</t>
  </si>
  <si>
    <t>FORD FOCUS 1.6</t>
  </si>
  <si>
    <t>ARMANDO GARCÍA-MORENO LÓPEZ</t>
  </si>
  <si>
    <t>DAVID GARCÍA-MORENO LÓPEZ</t>
  </si>
  <si>
    <t>ANTONIO CONTRERAS CONDE</t>
  </si>
  <si>
    <t>DEISON ALEJANDRO MORENO LACRUZ</t>
  </si>
  <si>
    <t>ALEJANDRO VIÑAMBRES ROMERO</t>
  </si>
  <si>
    <t>JOSÉ ÁNGEL MARTÍN GARCÍA</t>
  </si>
  <si>
    <t>LUIS GUILLERMO COBERTERA GARCÍA</t>
  </si>
  <si>
    <t>FRANCISCO JAVIER HERRERO FERNÁNDEZ</t>
  </si>
  <si>
    <t>ALFONSO HERRERO FERNÁNDEZ</t>
  </si>
  <si>
    <t>JOSÉ MANUEL BAILÓN LÓPEZ DE LERENA</t>
  </si>
  <si>
    <t>GUILLERMO GONZÁLEZ CANALEJO</t>
  </si>
  <si>
    <t>CAN-AM MAVERICK X3 X</t>
  </si>
  <si>
    <t>AMAIA URRUTIA VITALLE</t>
  </si>
  <si>
    <t>SERGIO HERRÁEZ MARTÍN</t>
  </si>
  <si>
    <t>TOYOTA LAND CRUISER</t>
  </si>
  <si>
    <t>RACE</t>
  </si>
  <si>
    <t>ALBERTO DORSCH BUZÓN</t>
  </si>
  <si>
    <t>ALBERTO DORSCH BLANCO</t>
  </si>
  <si>
    <t>MIGUEL ÁNGEL DOMINGO MORÓN</t>
  </si>
  <si>
    <t>SANTIAGO JUARRANZ CASTRO</t>
  </si>
  <si>
    <t>FERNANDO GIMÉNEZ SOLA</t>
  </si>
  <si>
    <t>NISSAN NAVARA</t>
  </si>
  <si>
    <r>
      <t xml:space="preserve">CLASIFICACIÓN </t>
    </r>
    <r>
      <rPr>
        <b/>
        <sz val="10"/>
        <color rgb="FFFF0000"/>
        <rFont val="Calibri"/>
        <family val="2"/>
        <scheme val="minor"/>
      </rPr>
      <t>PROVISIONAL</t>
    </r>
    <r>
      <rPr>
        <b/>
        <sz val="10"/>
        <color rgb="FF000000"/>
        <rFont val="Calibri"/>
        <family val="2"/>
        <scheme val="minor"/>
      </rPr>
      <t xml:space="preserve"> POR CLASES DE PILOTOS</t>
    </r>
  </si>
  <si>
    <r>
      <t xml:space="preserve">CLASIFICACIÓN </t>
    </r>
    <r>
      <rPr>
        <b/>
        <sz val="10"/>
        <color rgb="FFFF0000"/>
        <rFont val="Calibri"/>
        <family val="2"/>
        <scheme val="minor"/>
      </rPr>
      <t>PROVISIONAL</t>
    </r>
    <r>
      <rPr>
        <b/>
        <sz val="10"/>
        <color rgb="FF000000"/>
        <rFont val="Calibri"/>
        <family val="2"/>
        <scheme val="minor"/>
      </rPr>
      <t xml:space="preserve"> GENERAL DE COPILOTOS</t>
    </r>
  </si>
  <si>
    <t>ELBA CORREA LUIS (-)</t>
  </si>
  <si>
    <t>COPA MADRILEÑA DE VEHÍCULOS SSV 2025</t>
  </si>
  <si>
    <t>COPA MADRILEÑA DE VEHÍCULOS TT 2025</t>
  </si>
  <si>
    <t>ÁLVARO MARTÍNEZ CHIQUITO (-)</t>
  </si>
  <si>
    <t>COPA MADRILEÑA DE CAMIONES TT 2025</t>
  </si>
  <si>
    <r>
      <t xml:space="preserve">CLASIFICACIÓN </t>
    </r>
    <r>
      <rPr>
        <b/>
        <sz val="10"/>
        <color rgb="FFFF0000"/>
        <rFont val="Calibri"/>
        <family val="2"/>
        <scheme val="minor"/>
      </rPr>
      <t>PROVISIONAL</t>
    </r>
    <r>
      <rPr>
        <b/>
        <sz val="10"/>
        <color rgb="FF000000"/>
        <rFont val="Calibri"/>
        <family val="2"/>
        <scheme val="minor"/>
      </rPr>
      <t xml:space="preserve"> GENERAL DE TRIPULANTES</t>
    </r>
  </si>
  <si>
    <t>TRIPULANTE</t>
  </si>
  <si>
    <t>MARIO GARCÍA HERNANZ</t>
  </si>
  <si>
    <t>Tripulante</t>
  </si>
  <si>
    <t>RODRIGO DE LA CALLE SÁNCHEZ</t>
  </si>
  <si>
    <t>ALICIA IZQUIERDO CORTÉS</t>
  </si>
  <si>
    <t>TROFEO JUNIOR DE PILOTOS DE TIERRA 2025</t>
  </si>
  <si>
    <t>TROFEO FEMENINO DE COPILOTOS DE TIERRA 2025</t>
  </si>
  <si>
    <r>
      <t xml:space="preserve">CLASIFICACIÓN </t>
    </r>
    <r>
      <rPr>
        <b/>
        <sz val="10"/>
        <color rgb="FFFF0000"/>
        <rFont val="Calibri"/>
        <family val="2"/>
        <scheme val="minor"/>
      </rPr>
      <t>PROVISIONAL</t>
    </r>
    <r>
      <rPr>
        <b/>
        <sz val="10"/>
        <color rgb="FF000000"/>
        <rFont val="Calibri"/>
        <family val="2"/>
        <scheme val="minor"/>
      </rPr>
      <t xml:space="preserve"> GENERAL DE ESCUDERÍAS</t>
    </r>
  </si>
  <si>
    <t>ESCUDERÍA</t>
  </si>
  <si>
    <t>Puntos escudería</t>
  </si>
  <si>
    <t>TROFEO FEMENINO DE PILOTOS DE TIERRA 2025</t>
  </si>
  <si>
    <t>RUBÉN VELÁZQUEZ BERNARDO</t>
  </si>
  <si>
    <t>BMW 323I</t>
  </si>
  <si>
    <t>MARTA DORSCH BLANCO</t>
  </si>
  <si>
    <t>*</t>
  </si>
  <si>
    <t>MARINA DELFINO RAMOS</t>
  </si>
  <si>
    <t>PAST RACING</t>
  </si>
  <si>
    <t>JARAMA SPORT</t>
  </si>
  <si>
    <t>ETCETERA</t>
  </si>
  <si>
    <t>NICOLÁS OTTO BOEHRINGER</t>
  </si>
  <si>
    <t>ÓSCAR BUENO DE LA ROSA</t>
  </si>
  <si>
    <t>SANTIAGO GARCÍA MARTÍN</t>
  </si>
  <si>
    <t>JOSÉ MARÍA GARCÍA-VIÑÓ SÁNCHEZ</t>
  </si>
  <si>
    <t>CRISTOFER CALERO CARRANZA</t>
  </si>
  <si>
    <t>GERMÁN LÓPEZ GARCÍA</t>
  </si>
  <si>
    <t>IVÁN ALONSO MARÍN</t>
  </si>
  <si>
    <t>AS</t>
  </si>
  <si>
    <t>ESTHER TRANCÓN AURAL</t>
  </si>
  <si>
    <t>ÁLVARO CASTRO BAÑOS</t>
  </si>
  <si>
    <t>ANDRÉS AGUADO ÁLVAREZ</t>
  </si>
  <si>
    <t>JOAQUÍN LÓPEZ-MANCEBO DE PACO</t>
  </si>
  <si>
    <t>IGNACIO GÓMEZ FERNÁNDEZ</t>
  </si>
  <si>
    <t>JUAN MIGUEL GIL CASCO</t>
  </si>
  <si>
    <t>SKODA FABIA R5</t>
  </si>
  <si>
    <t>RENAULT CLIO RALLY5</t>
  </si>
  <si>
    <t>BMW 316I</t>
  </si>
  <si>
    <t>NISSAN MICRA</t>
  </si>
  <si>
    <t>CITROEN C3 N5</t>
  </si>
  <si>
    <t>AUDI A3</t>
  </si>
  <si>
    <t>VANESSA VALLE NÚÑEZ</t>
  </si>
  <si>
    <t>ADRIÁN LEÓN GALVÁN</t>
  </si>
  <si>
    <t>NURIA AGUADO ÁLVAREZ</t>
  </si>
  <si>
    <t>RUBÉN GONZÁLEZ PÉREZ</t>
  </si>
  <si>
    <t>MARIANO DE QUADROS ROMERO DE LA CRUZ</t>
  </si>
  <si>
    <t>POLARIS RZR XP TURBO</t>
  </si>
  <si>
    <t>R CM-EL MOLAR</t>
  </si>
  <si>
    <t>JESÚS GARCÍA MARTÍNEZ</t>
  </si>
  <si>
    <t>TOYOTA HILUX</t>
  </si>
  <si>
    <t>ISAAC RAMÍERZ MORA</t>
  </si>
  <si>
    <t>ENRIQUE ALBERTO VILA MONTESERÍN</t>
  </si>
  <si>
    <t>DAVID FERNÁNDEZ ORTEGA</t>
  </si>
  <si>
    <t>ÁNGELA CARDÍN MARTÍNEZ</t>
  </si>
  <si>
    <t>GINAF X2222</t>
  </si>
  <si>
    <t>MARIO CARCEDO MUÑOA</t>
  </si>
  <si>
    <t>MARIO CARCEDO MOUÑOA</t>
  </si>
  <si>
    <t>RS CM-EL MOLAR</t>
  </si>
  <si>
    <t>TIERRAS DE CASTILLA</t>
  </si>
  <si>
    <t>AD ETCÉTERA</t>
  </si>
  <si>
    <t>LE MANS</t>
  </si>
  <si>
    <t>MONTONERA RACING</t>
  </si>
  <si>
    <t>PT</t>
  </si>
  <si>
    <t>IVÁN MORENO GONZÁLEZ</t>
  </si>
  <si>
    <t>JULIÁN GARCÍA MUÑOZ</t>
  </si>
  <si>
    <t>ANTONIO PEDROSA GORDILLO</t>
  </si>
  <si>
    <t>SERGIO MARTÍN SÁNCHEZ</t>
  </si>
  <si>
    <t>RAFAEL PEDROSA BUENO</t>
  </si>
  <si>
    <t>SERGIO DE LA OLIVA NICAS</t>
  </si>
  <si>
    <t>HUGO I. GONÇALVEZ MAGALHAES</t>
  </si>
  <si>
    <t>SKODA FABIA</t>
  </si>
  <si>
    <t>TOYOTA YARIS N4</t>
  </si>
  <si>
    <t>MBW 316I</t>
  </si>
  <si>
    <t>PEUGEOT 306 GTI</t>
  </si>
  <si>
    <t>NISSAN MICRA 1.6 16V</t>
  </si>
  <si>
    <t>MITSUBISHI LANCER EVO</t>
  </si>
  <si>
    <t>PEUGEOT 206 GTI</t>
  </si>
  <si>
    <t>CITROEN C2 GT</t>
  </si>
  <si>
    <t>AUDI TT</t>
  </si>
  <si>
    <t>JUAN ALONSO CANO PÉREZ</t>
  </si>
  <si>
    <t>FELIPE CUADRADO RODRÍGUEZ CRUZ</t>
  </si>
  <si>
    <t>ARTURO ALCÓN VERDUGO</t>
  </si>
  <si>
    <t>SERGIO GARCÍA BARRADO</t>
  </si>
  <si>
    <t>ISAAC RAMIREZ MORA</t>
  </si>
  <si>
    <t>ROCÍO MALPICA RIVAS</t>
  </si>
  <si>
    <t>JULIÁN CRUZ DOMÍNGUEZ</t>
  </si>
  <si>
    <t>FORD SCORT COSWORTH</t>
  </si>
  <si>
    <t>TRIPULANTES</t>
  </si>
  <si>
    <t>CAMION</t>
  </si>
  <si>
    <t>X</t>
  </si>
  <si>
    <t>COPILOTO CL</t>
  </si>
  <si>
    <t>COPILOTO  NV</t>
  </si>
  <si>
    <t>Se reparten el 50 % de los puntos de clase de acuerdo al art. 11.2.1 del RD CMT 2025</t>
  </si>
  <si>
    <t>JUAN JOSÉ SUAREZ RAMÍREZ</t>
  </si>
  <si>
    <t>AC. ALCARREÑO</t>
  </si>
  <si>
    <t>EUSEBIO MARTINEZ CHIQUITO</t>
  </si>
  <si>
    <t>JOSÉ MANUEL BAILÓN LÓPEZ DE LEIRANA</t>
  </si>
  <si>
    <t>IVECO MP 190E44W</t>
  </si>
  <si>
    <t>MAN F20000 422</t>
  </si>
  <si>
    <t>KILLIAN REVUELTA RODRÍGUEZ</t>
  </si>
  <si>
    <t>MARIANO DE CUADROS ROMERO DE LA CRUZ</t>
  </si>
  <si>
    <t>LUCENA SPORT</t>
  </si>
  <si>
    <t>N</t>
  </si>
  <si>
    <t>ESP</t>
  </si>
  <si>
    <t>MC COMPETICIO</t>
  </si>
  <si>
    <t>AUTOMOVIL MADRIZ SPORT</t>
  </si>
  <si>
    <t>JUAN PABLO CASTRO IGLESIAS</t>
  </si>
  <si>
    <t>RAÚL CARRASCO SEGOVIA</t>
  </si>
  <si>
    <t>BELTRÁN MARTÍN REGUERA</t>
  </si>
  <si>
    <t>JUAN JOSÉ LEAL OLIVENZA</t>
  </si>
  <si>
    <t>HUGO I. GONÇALVES MAGALHAES</t>
  </si>
  <si>
    <t>JORGE GAY VEGA</t>
  </si>
  <si>
    <t>JOAQUÍN LÓPEZ MANCEBO DE PACO</t>
  </si>
  <si>
    <t>JULIA LLINARES LLORET</t>
  </si>
  <si>
    <t>CARLOS CANCELA SANZ</t>
  </si>
  <si>
    <t>VANESSA VALLE NUÑEZ</t>
  </si>
  <si>
    <t>TOYOTA YARIS RALLY5 KIT</t>
  </si>
  <si>
    <t>FED</t>
  </si>
  <si>
    <t>ÁNGELA CARDÍN</t>
  </si>
  <si>
    <t>Se reparten el 50 % de los puntos de clase de acuerdo al art. 12.2.1 del RD CMT 2025</t>
  </si>
  <si>
    <t>ETCÉTERA</t>
  </si>
  <si>
    <t>LUCENA</t>
  </si>
  <si>
    <r>
      <t xml:space="preserve">CLASIFICACIÓN </t>
    </r>
    <r>
      <rPr>
        <b/>
        <sz val="10"/>
        <color rgb="FFFF0000"/>
        <rFont val="Calibri"/>
        <family val="2"/>
        <scheme val="minor"/>
      </rPr>
      <t>FINAL</t>
    </r>
    <r>
      <rPr>
        <b/>
        <sz val="10"/>
        <color rgb="FF000000"/>
        <rFont val="Calibri"/>
        <family val="2"/>
        <scheme val="minor"/>
      </rPr>
      <t xml:space="preserve"> GENERAL DE PILOTOS</t>
    </r>
  </si>
  <si>
    <t xml:space="preserve">                                                                                                                      No optan a las clasificaciones finales según Art. 11.3.1. PCCCTCM los siguientes pilotos:</t>
  </si>
  <si>
    <t>NOM. (-)</t>
  </si>
  <si>
    <t>TROFEO MADRILEÑO DE TIERRA 2025</t>
  </si>
  <si>
    <r>
      <t xml:space="preserve">CLASIFICACIÓN </t>
    </r>
    <r>
      <rPr>
        <b/>
        <sz val="10"/>
        <color rgb="FFFF0000"/>
        <rFont val="Calibri"/>
        <family val="2"/>
        <scheme val="minor"/>
      </rPr>
      <t>FINAL</t>
    </r>
    <r>
      <rPr>
        <b/>
        <sz val="10"/>
        <color rgb="FF000000"/>
        <rFont val="Calibri"/>
        <family val="2"/>
        <scheme val="minor"/>
      </rPr>
      <t xml:space="preserve"> GENERAL DE COPILOTOS</t>
    </r>
  </si>
  <si>
    <t xml:space="preserve">                                                                                                                      No optan a las clasificaciones finales según Art. 11.3.1. PCCCTCM los siguientes copilotos:</t>
  </si>
  <si>
    <r>
      <t xml:space="preserve">CLASIFICACIÓN </t>
    </r>
    <r>
      <rPr>
        <b/>
        <sz val="10"/>
        <color rgb="FFFF0000"/>
        <rFont val="Calibri"/>
        <family val="2"/>
        <scheme val="minor"/>
      </rPr>
      <t>FINAL</t>
    </r>
    <r>
      <rPr>
        <b/>
        <sz val="10"/>
        <color rgb="FF000000"/>
        <rFont val="Calibri"/>
        <family val="2"/>
        <scheme val="minor"/>
      </rPr>
      <t xml:space="preserve"> DE PILOTOS POR CLASES</t>
    </r>
  </si>
  <si>
    <r>
      <t xml:space="preserve">CLASIFICACIÓN </t>
    </r>
    <r>
      <rPr>
        <b/>
        <sz val="10"/>
        <color rgb="FFFF0000"/>
        <rFont val="Calibri"/>
        <family val="2"/>
        <scheme val="minor"/>
      </rPr>
      <t>FINAL</t>
    </r>
    <r>
      <rPr>
        <b/>
        <sz val="10"/>
        <color rgb="FF000000"/>
        <rFont val="Calibri"/>
        <family val="2"/>
        <scheme val="minor"/>
      </rPr>
      <t xml:space="preserve"> DE PILOTOS</t>
    </r>
  </si>
  <si>
    <r>
      <t xml:space="preserve">CLASIFICACIÓN </t>
    </r>
    <r>
      <rPr>
        <b/>
        <sz val="10"/>
        <color rgb="FFFF0000"/>
        <rFont val="Calibri"/>
        <family val="2"/>
        <scheme val="minor"/>
      </rPr>
      <t>FINAL</t>
    </r>
    <r>
      <rPr>
        <b/>
        <sz val="10"/>
        <color rgb="FF000000"/>
        <rFont val="Calibri"/>
        <family val="2"/>
        <scheme val="minor"/>
      </rPr>
      <t xml:space="preserve"> DE COPILOTOS</t>
    </r>
  </si>
  <si>
    <r>
      <t xml:space="preserve">CLASIFICACIÓN </t>
    </r>
    <r>
      <rPr>
        <b/>
        <sz val="10"/>
        <color rgb="FFFF0000"/>
        <rFont val="Calibri"/>
        <family val="2"/>
        <scheme val="minor"/>
      </rPr>
      <t>FINAL</t>
    </r>
    <r>
      <rPr>
        <b/>
        <sz val="10"/>
        <color rgb="FF000000"/>
        <rFont val="Calibri"/>
        <family val="2"/>
        <scheme val="minor"/>
      </rPr>
      <t xml:space="preserve"> DE TRIPULANTES</t>
    </r>
  </si>
  <si>
    <t xml:space="preserve">                                                                                                                      No optan a las clasificaciones finales según Art. 11.3.1. PCCCTCM los siguientes tripulantes:</t>
  </si>
  <si>
    <t xml:space="preserve">                                                                                                  No optan a las clasificaciones finales según Art. 11.3.1. PCCCTCM los siguientes pilotos:</t>
  </si>
  <si>
    <t xml:space="preserve">                                                                                                  No optan a las clasificaciones finales según Art. 11.3.1. PCCCTCM los siguientes copilotos:</t>
  </si>
  <si>
    <t xml:space="preserve">                                                                                                  No optan a las clasificaciones finales según Art. 11.3.1. PCCCTCM las siguientes escuderías:</t>
  </si>
  <si>
    <r>
      <t xml:space="preserve">CLASIFICACIÓN </t>
    </r>
    <r>
      <rPr>
        <b/>
        <sz val="10"/>
        <color rgb="FFFF0000"/>
        <rFont val="Calibri"/>
        <family val="2"/>
        <scheme val="minor"/>
      </rPr>
      <t>FINAL</t>
    </r>
    <r>
      <rPr>
        <b/>
        <sz val="10"/>
        <color rgb="FF000000"/>
        <rFont val="Calibri"/>
        <family val="2"/>
        <scheme val="minor"/>
      </rPr>
      <t xml:space="preserve"> GENERAL DE ESCUDERÍAS</t>
    </r>
  </si>
  <si>
    <t>Primero de clase</t>
  </si>
  <si>
    <t>Primero 2RM</t>
  </si>
  <si>
    <t>PREMIO</t>
  </si>
  <si>
    <t>PREMIADOS</t>
  </si>
  <si>
    <t>CAMPEÓN</t>
  </si>
  <si>
    <t>SUBCAMPEÓN</t>
  </si>
  <si>
    <t>TROFEO 3º</t>
  </si>
  <si>
    <t>CAMPEONATO MADRILEÑO DE TIERRA DE ESCUDERÍAS</t>
  </si>
  <si>
    <t>TROFEO MADRILEÑO DE PILOTOS 2RM</t>
  </si>
  <si>
    <t>VENCEDOR</t>
  </si>
  <si>
    <t>TROFEO MADRILEÑO DE COPILOTOS 2RM</t>
  </si>
  <si>
    <t>COPA MADRILEÑA DE PILOTOS VEHÍCULOS SSV</t>
  </si>
  <si>
    <t>COPA MADRILEÑA DE COPILOTOS VEHÍCULOS SSV</t>
  </si>
  <si>
    <t>COPA MADRILEÑA DE PILOTOS VEHÍCULOS TT</t>
  </si>
  <si>
    <t>COPA MADRILEÑA DE COPILOTOS VEHÍCULOS TT</t>
  </si>
  <si>
    <t>COPA MADRILEÑA DE PILOTOS DE CAMIONES TT</t>
  </si>
  <si>
    <t>COPA MADRILEÑA DE COPILOTOS DE CAMIONES TT</t>
  </si>
  <si>
    <t>COPA MADRILEÑA DE TRIPULANTES DE CAMIONES TT</t>
  </si>
  <si>
    <t>PRIMER CLASIFICADO</t>
  </si>
  <si>
    <t>TROFEO FEMENINO DE COPILOTOS DE TIERRA</t>
  </si>
  <si>
    <t>VENCEDORA</t>
  </si>
  <si>
    <t>TROFEO JUNIOR DE PILOTOS DE TIERRA</t>
  </si>
  <si>
    <r>
      <t xml:space="preserve">CAMPEONATO MADRILEÑO </t>
    </r>
    <r>
      <rPr>
        <sz val="10"/>
        <color theme="1"/>
        <rFont val="Calibri"/>
        <family val="2"/>
        <scheme val="minor"/>
      </rPr>
      <t>DE PILOTOS DE TIERRA</t>
    </r>
  </si>
  <si>
    <r>
      <t xml:space="preserve">CAMPEONATO MADRILEÑO </t>
    </r>
    <r>
      <rPr>
        <sz val="10"/>
        <color theme="1"/>
        <rFont val="Calibri"/>
        <family val="2"/>
        <scheme val="minor"/>
      </rPr>
      <t>DE COPILOTOS DE TIERRA</t>
    </r>
  </si>
  <si>
    <t>Empates resueltos con art. 12.1 PCCCTCM</t>
  </si>
  <si>
    <t>COPA CENTRO 2025</t>
  </si>
  <si>
    <t>RS GUADAMUR</t>
  </si>
  <si>
    <t>TCT N.BAZTÁN</t>
  </si>
  <si>
    <t xml:space="preserve">R CM-EL MOLAR </t>
  </si>
  <si>
    <t xml:space="preserve">                                                                         No optan a las clasificaciones finales según Art. 11.3.1. PCCCTCM los siguientes copilotos:</t>
  </si>
  <si>
    <t>Piloto no madrileño que puntúa (art. 11.2.3. PCCCTM)</t>
  </si>
  <si>
    <t>COPA CENTRO - PILOTOS</t>
  </si>
  <si>
    <t>COPA CENTRO - COPILOTOS</t>
  </si>
  <si>
    <t>4</t>
  </si>
  <si>
    <t>2</t>
  </si>
  <si>
    <t/>
  </si>
  <si>
    <t>CAMPEONATO MADRILEÑO DE TIERRA 2026</t>
  </si>
  <si>
    <t>COPA MADRILEÑA DE VEHÍCULOS SSV 2026</t>
  </si>
  <si>
    <t>COPA MADRILEÑA DE VEHÍCULOS TT 2026</t>
  </si>
  <si>
    <t>COPA MADRILEÑA DE CAMIONES TT 2026</t>
  </si>
  <si>
    <t>TROFEO JUNIOR DE PILOTOS DE TIERRA 2026</t>
  </si>
  <si>
    <t>TROFEO FEMENINO DE PILOTOS DE TIERRA 2026</t>
  </si>
  <si>
    <t>TROFEO FEMENINO DE COPILOTOS DE TIERRA 2026</t>
  </si>
  <si>
    <t>14 FEBRERO</t>
  </si>
  <si>
    <t>TCT GUADAMUR</t>
  </si>
  <si>
    <t>9 MAYO</t>
  </si>
  <si>
    <t>RALLYE CAM</t>
  </si>
  <si>
    <t>TCT NUEVO BAZTÁN</t>
  </si>
  <si>
    <t>28 NOVIEMBRE</t>
  </si>
  <si>
    <t>10 OCTUBRE</t>
  </si>
  <si>
    <t>7 NOVIEMBRE</t>
  </si>
  <si>
    <t xml:space="preserve">RS ALCARRIA </t>
  </si>
  <si>
    <t>TCT MAQUEDA</t>
  </si>
  <si>
    <r>
      <t xml:space="preserve">CLASIFICACIÓN </t>
    </r>
    <r>
      <rPr>
        <b/>
        <sz val="10"/>
        <color rgb="FFFF0000"/>
        <rFont val="Calibri"/>
        <family val="2"/>
        <scheme val="minor"/>
      </rPr>
      <t>PROVISIONAL</t>
    </r>
    <r>
      <rPr>
        <b/>
        <sz val="10"/>
        <color rgb="FF000000"/>
        <rFont val="Calibri"/>
        <family val="2"/>
        <scheme val="minor"/>
      </rPr>
      <t xml:space="preserve"> GENERAL POR CLASES DE COPILOTOS</t>
    </r>
  </si>
  <si>
    <t>Se reparten el 50 % de los puntos de clase (Art. 12.2.1 del RD CMT 2026)</t>
  </si>
  <si>
    <t>TROFEO MADRILEÑO DE TIERRA POR CLASES - CLASE 1 - PILOTOS</t>
  </si>
  <si>
    <t>COPA KOBE MOTOR MADRID - PILOTOS</t>
  </si>
  <si>
    <t>COPA KOBE MOTOR MADRID - COPILOTOS</t>
  </si>
  <si>
    <t>Por confirmar</t>
  </si>
  <si>
    <t>TROFEO MADRILEÑO DE TIERRA POR CLASES - CLASE 1 - COPILOTOS</t>
  </si>
  <si>
    <t>TROFEO MADRILEÑO DE TIERRA POR CLASES - CLASE 2 - PILOTOS</t>
  </si>
  <si>
    <t>TROFEO MADRILEÑO DE TIERRA POR CLASES - CLASE 2 - COPILOTOS</t>
  </si>
  <si>
    <t>TROFEO MADRILEÑO DE TIERRA POR CLASES - CLASE 3 - PILOTOS</t>
  </si>
  <si>
    <t>TROFEO MADRILEÑO DE TIERRA POR CLASES - CLASE 3 - COPILOTOS</t>
  </si>
  <si>
    <t>TROFEO MADRILEÑO DE TIERRA POR CLASES - CLASE 4 - PILOTOS</t>
  </si>
  <si>
    <t>TROFEO MADRILEÑO DE TIERRA POR CLASES - CLASE 4 - COPILOTOS</t>
  </si>
  <si>
    <t>TROFEO MADRILEÑO DE PILOTOS DE VEHÍCULOS HISTÓRICOS SOBRE TIERRA</t>
  </si>
  <si>
    <t>TROFEO MADRILEÑO DE COPILOTOS DE VEHÍCULOS HISTÓRICOS SOBRE TIERRA</t>
  </si>
  <si>
    <t>TROFEO JUNIOR DE COPILOTOS DE TIERRA</t>
  </si>
  <si>
    <t>TROFEO FEMENINO DE PILOTOS DE TIERRA</t>
  </si>
  <si>
    <t>CAMPEONATO MADRILEÑO DE TIERRA 2026 (CMT)</t>
  </si>
  <si>
    <t>Se reparten el 50 % de los puntos de clase (Art. 11.2.1 del RD CMT 2026)</t>
  </si>
  <si>
    <t>Recordar la multiplicación por el coeficiente de la prueba</t>
  </si>
  <si>
    <t>TROFEO MADRILEÑO DE VEHÍCULOS HISTÓRICOS SOBRE TIERRA 2026</t>
  </si>
  <si>
    <t>COPA CENTRO 2026</t>
  </si>
  <si>
    <t>COPA KOBE MOTOR MADRID 2026</t>
  </si>
  <si>
    <t>Correo</t>
  </si>
  <si>
    <t>TCT NUEVO BAZTÁN (28-nov-2026)</t>
  </si>
  <si>
    <t>RS NAVALCARNERO (07-nov-2026)</t>
  </si>
  <si>
    <t>RALLYE CAM EL MOLAR (10-oct-2026)</t>
  </si>
  <si>
    <t>RS ALCARRIA MADRILEÑA (14-feb-2026)</t>
  </si>
  <si>
    <t>Ojo con Arts. 8.6 (Super-Rallye no puntúa ni bloquea), 9.4 (Todos madrileños puntúan y bloquean salvo que no hayan participado (autorizados) en el primer 50%), 9.5 (No madrileños puntúan solo si lo han pedido con art. 11.2.3 PCCCTCM), 12.2.1 (50% de puntos si nº de inscritos, autorizados y con derecho a puntuar y bloquear son 2 o menos) del RD CMT 2026. De las PCCCTCM importa el 11.3.1 (Clasifican si han sido autorizados a tomar salida en 3 pruebas como mínimo del CMA 2026 - 50%) y el 12.1 (Empates)</t>
  </si>
  <si>
    <t xml:space="preserve">SE DESCARTA 1 PRUEBA SI HAY 6 O 7 EN TOTAL POR ART. 13.2 RD CMT 2026 (Si se ha participado/se está autorizado a participar en todas). DSQ no es descartable. En Copa Centro se descarta 1 (Menos DSQ y Todas con mismo coeficiente) y CKM se contabilizan todas y con 50% de puntos si se toma Super-Rallye. </t>
  </si>
  <si>
    <t>Tres primeros clasificados (madrileños o no) de cada concursante colectivo madrileño, quienes van recibiendo los puntos de la clasificación scratch del Art.12. RD CMTS 2026.</t>
  </si>
  <si>
    <t>RALLYON</t>
  </si>
  <si>
    <t>ALEX ESPAÑOL JOVE</t>
  </si>
  <si>
    <t>RODRIGO SANJUAN DE EUSEBIO</t>
  </si>
  <si>
    <t>GPR SPORT</t>
  </si>
  <si>
    <t>ABEL GONZALEZ VIAL</t>
  </si>
  <si>
    <t>GABINO MARTINEZ SARABIA</t>
  </si>
  <si>
    <t>JULIAN VERA CASTELLOTE</t>
  </si>
  <si>
    <t>JOSE LUIS CRESPILLO CALDERON</t>
  </si>
  <si>
    <t>SERGIO HERRAEZ MARTIN</t>
  </si>
  <si>
    <t>JUAN JOSE SUAREZ RAMIREZ</t>
  </si>
  <si>
    <t>MANUEL GOMEZ-MANZANILLA JAVEGA</t>
  </si>
  <si>
    <t>ALVARO CRISTOBAL ESCALERO</t>
  </si>
  <si>
    <t>MANUEL GOMEZ-MANZANILLA ARRABAL</t>
  </si>
  <si>
    <t>MARTIN LUMBRERAS MANRIQUE</t>
  </si>
  <si>
    <t>ESC. VALLE ANDARAX</t>
  </si>
  <si>
    <t>AN</t>
  </si>
  <si>
    <t>ALEJANDRO CASTILLEJO GARCIA</t>
  </si>
  <si>
    <t>GUSTAVO JAVIER SOSA ESPINEL</t>
  </si>
  <si>
    <t>CANAR</t>
  </si>
  <si>
    <t>PATRICIA GRANDE MARTIN</t>
  </si>
  <si>
    <t>HYUNDAI I20N RALLY2</t>
  </si>
  <si>
    <t>RUBEN GONZALEZ PEREZ</t>
  </si>
  <si>
    <t>JUAN GANDARA FERNANDEZ</t>
  </si>
  <si>
    <t>GAL</t>
  </si>
  <si>
    <t>ESCUDERIA 1000 LAGOS</t>
  </si>
  <si>
    <t>MARCOS MARTINEZ GONZALEZ</t>
  </si>
  <si>
    <t>JOAQUIN LOPEZ-MANCEBO DE PACO</t>
  </si>
  <si>
    <t>ESCUDERIA LE MANS</t>
  </si>
  <si>
    <t>SANTIAGO GARCIA MARTIN</t>
  </si>
  <si>
    <t>JOSE MARIA GARCIA-VIÑO SANCHEZ</t>
  </si>
  <si>
    <t>AITOR AIRADO RODRIGUEZ</t>
  </si>
  <si>
    <t>CARLOS VELAZQUEZ RODRIGUEZ</t>
  </si>
  <si>
    <t>MARIA GOMEZ MARTINEZ</t>
  </si>
  <si>
    <t>ALBERTO LUIS PEREZ</t>
  </si>
  <si>
    <t>RAUL FUENTES LOPEZ</t>
  </si>
  <si>
    <t>ADRIA MUÑOZ RODRIGUEZ</t>
  </si>
  <si>
    <t>VAL</t>
  </si>
  <si>
    <t>FRANCISCO DEL POZO MARTINEZ</t>
  </si>
  <si>
    <t>ANGELA CARDIN MARTINEZ</t>
  </si>
  <si>
    <t>CANT</t>
  </si>
  <si>
    <t>JULIO MARTIN AGUDO</t>
  </si>
  <si>
    <t>JAIME TORO DURAN</t>
  </si>
  <si>
    <t>JOSE MANUEL CERRATO NOGUEIRA</t>
  </si>
  <si>
    <t>MARCOS JOSE DEL CID JIMENEZ</t>
  </si>
  <si>
    <t>CARLOS SANTOS ROBLES</t>
  </si>
  <si>
    <t>ESCUDERIA MADRID HISTORICOS</t>
  </si>
  <si>
    <t>PELI</t>
  </si>
  <si>
    <t>CARLOS ALBERTO GOMEZ PEINADO</t>
  </si>
  <si>
    <t>BMW 316</t>
  </si>
  <si>
    <t>JOSE ANGEL MARTIN GARCIA</t>
  </si>
  <si>
    <t>PEUGEOT 206 1,6 16V</t>
  </si>
  <si>
    <t>ESC. DOBLE 30</t>
  </si>
  <si>
    <t>OSCAR GARCIA ROJAS</t>
  </si>
  <si>
    <t>LUISA MARIA BENITEZ MORENO</t>
  </si>
  <si>
    <t>FORD FOCUS 2.0</t>
  </si>
  <si>
    <t>VICTOR GARRIDO GONZALEZ</t>
  </si>
  <si>
    <t>GEMA GARRIDO GONZALEZ</t>
  </si>
  <si>
    <t>MARIANO ALONSO GENTILE</t>
  </si>
  <si>
    <t>JAVIER FERNANDEZ FERNANDEZ</t>
  </si>
  <si>
    <t>AST</t>
  </si>
  <si>
    <t>IVAN AGUADO REOYO</t>
  </si>
  <si>
    <t>JESSICA TRUCO MARCOS</t>
  </si>
  <si>
    <t>RUBEN VELAZQUEZ BERNARDO</t>
  </si>
  <si>
    <t>PABLO PASTOR VELAZQUEZ</t>
  </si>
  <si>
    <t>MANUEL SORIANO DIAZ</t>
  </si>
  <si>
    <t>ADRIAN SORIANO ARAGON</t>
  </si>
  <si>
    <t xml:space="preserve">PEUGEOT 205 GTI </t>
  </si>
  <si>
    <t>ANDRES AGUADO ALVAREZ</t>
  </si>
  <si>
    <t>SERGIO VILLALBA TEJEDA</t>
  </si>
  <si>
    <t>JOSE ALBERTO VILLALBA PEREZ</t>
  </si>
  <si>
    <t>MADRIZ SPORT</t>
  </si>
  <si>
    <t>IVAN ALONSO MARIN</t>
  </si>
  <si>
    <t>CARLOS VALENTIN SANCHEZ LLAGOSTERA</t>
  </si>
  <si>
    <t>BELTRAN MARTINEZ REGUERA</t>
  </si>
  <si>
    <t>NURIA AGUADO ALVAREZ</t>
  </si>
  <si>
    <t>JOSE ALBERTO DORSCH BUZON</t>
  </si>
  <si>
    <t>ALCARREÑO</t>
  </si>
  <si>
    <t>MIGUEL ANGEL PEREZ RODRIGUEZ</t>
  </si>
  <si>
    <t>JESUS GARCIA MARTINEZ</t>
  </si>
  <si>
    <t>DAVID FERNANDEZ ORTEGA</t>
  </si>
  <si>
    <t>FERNANDO GIMENEZ SOLA</t>
  </si>
  <si>
    <t>FERNANDO GIMENEZ MARTINEZ</t>
  </si>
  <si>
    <t>SAN BRAVO HERNANDEZ</t>
  </si>
  <si>
    <t>SANTIAGO BRAVO HERNANDEZ</t>
  </si>
  <si>
    <t>EDUARDO IZQUIERDO</t>
  </si>
  <si>
    <t>ENRIQUE ALBERTO VILA MONTESERIN</t>
  </si>
  <si>
    <t>JOSE MANUEL BAILON</t>
  </si>
  <si>
    <t>ALICIA IZQUIERDO</t>
  </si>
  <si>
    <t>CRISTINA HIGUERA</t>
  </si>
  <si>
    <t>INT</t>
  </si>
  <si>
    <t>DIEGO CRUZ MARTINEZ (-)</t>
  </si>
  <si>
    <t>EUSEBIO MARTINEZ CHIQUITO (-)</t>
  </si>
  <si>
    <r>
      <t xml:space="preserve">Todos los resultados considerados con 1 descarte y mismo coeficiente. DSQ no es descartable. DSQ por motivo técnico quita 20 puntos. Si hay superrallye, 50% puntos si ha realizado más del 50% km cronometrados. </t>
    </r>
    <r>
      <rPr>
        <b/>
        <sz val="8"/>
        <color rgb="FF000000"/>
        <rFont val="Calibri"/>
        <family val="2"/>
        <scheme val="minor"/>
      </rPr>
      <t>5 o menos inscritos NO ASIGNA PUNTOS.</t>
    </r>
    <r>
      <rPr>
        <sz val="8"/>
        <color rgb="FF000000"/>
        <rFont val="Calibri"/>
        <family val="2"/>
        <scheme val="minor"/>
      </rPr>
      <t xml:space="preserve"> </t>
    </r>
  </si>
  <si>
    <t>No se asignan puntos ni premios si el número de inscritos es igual o inferior a 4. 50% de puntos si hace super-rallye. Sin descartes</t>
  </si>
  <si>
    <t>-</t>
  </si>
  <si>
    <t>Copiloto no madrileño que puntúa (art. 11.2.3. PCCCTM)</t>
  </si>
  <si>
    <r>
      <t xml:space="preserve">Todos los resultados considerados con 1 descarte y mismo coeficiente. DSQ no es descartable. DSQ por motivo técnico quita 20 puntos. Si hay superrallye, 50% puntos si ha realizado más del 50% km cronometrados. </t>
    </r>
    <r>
      <rPr>
        <b/>
        <sz val="8"/>
        <color rgb="FF000000"/>
        <rFont val="Calibri"/>
        <family val="2"/>
        <scheme val="minor"/>
      </rPr>
      <t>5 o menos inscritos NO ASIGNA PUNTOS.</t>
    </r>
    <r>
      <rPr>
        <sz val="8"/>
        <color rgb="FF000000"/>
        <rFont val="Calibri"/>
        <family val="2"/>
        <scheme val="minor"/>
      </rPr>
      <t xml:space="preserve"> Equipos nuevos a partir de la tercera prueba ni puntúan ni bloquean</t>
    </r>
  </si>
  <si>
    <t>TROFEO JUNIOR DE COPILOTOS DE TIERRA 2026</t>
  </si>
  <si>
    <t>ACTUALIZADO EL 19 DE FEBRERO DE 2026</t>
  </si>
  <si>
    <t xml:space="preserve">TCT GUADAMUR </t>
  </si>
  <si>
    <t>12 SEPTIEMBRE</t>
  </si>
  <si>
    <t>TCT MAQUEDA (12-sep-2026)</t>
  </si>
  <si>
    <t>TCT GUADAMUR (9-may-2026)</t>
  </si>
  <si>
    <t>AUTOMOVIL CLUB AIA</t>
  </si>
  <si>
    <t>ANDRES LOPEZ ARCHILLA</t>
  </si>
  <si>
    <t>CARLOS LOPEZ HIDALGO</t>
  </si>
  <si>
    <t>ADRIAN DIAZ CARRETERO</t>
  </si>
  <si>
    <t>ARMANDO GARCIA-MORENO LOPEZ</t>
  </si>
  <si>
    <t>DAVID GARCIA-MORENO LOPEZ</t>
  </si>
  <si>
    <t>JAVIER PRIETO MIRO</t>
  </si>
  <si>
    <t>SERGIO MARTIN SANCHEZ</t>
  </si>
  <si>
    <t>VW GOLF</t>
  </si>
  <si>
    <t>ALVARO MANZANO BONILLA</t>
  </si>
  <si>
    <t>JUAN ALONSO CANO PEREZ</t>
  </si>
  <si>
    <t>GERMAN LOPEZ GARCIA</t>
  </si>
  <si>
    <t>IGNACIO GOMEZ FERNANDEZ</t>
  </si>
  <si>
    <t>PEDRO LOPEZ MARTIN</t>
  </si>
  <si>
    <t>SERGIO SAN ROMAN RODRIGUEZ</t>
  </si>
  <si>
    <t>CITROEN C2</t>
  </si>
  <si>
    <t>MIGUEL ANGEL UREÑA GARCIA</t>
  </si>
  <si>
    <t>AARON UREÑA BLAZQUEZ</t>
  </si>
  <si>
    <t>FIAT SEICENTO</t>
  </si>
  <si>
    <t>ESCUDERIA MONTORO</t>
  </si>
  <si>
    <t>JAVIER GARCIA GARCIA</t>
  </si>
  <si>
    <t>SARA MARTIN SANCHEZ</t>
  </si>
  <si>
    <t>ANTONIO DIAZ CUBERO</t>
  </si>
  <si>
    <t>SUSANA LAFUENTE JIMENEZ</t>
  </si>
  <si>
    <t>NOM (-)</t>
  </si>
  <si>
    <t>Piloto sin licencia adscrita a la FMA que puntúa (art. 11.2.3. PCCCTM)</t>
  </si>
  <si>
    <t>Copiloto sin licencia adscrita a la FMA que puntúa (art. 11.2.3. PCCCTM)</t>
  </si>
  <si>
    <t>ACTUALIZADO EL 13 DE MAYO DE 2026</t>
  </si>
  <si>
    <t>JOSE MARIA SAN JOSE ROMERO</t>
  </si>
  <si>
    <t>VICTOR MANUEL FERRERO SANZ</t>
  </si>
  <si>
    <t>NISSAN MICRA N5</t>
  </si>
  <si>
    <t>JULIAN GARCIA MUÑOZ</t>
  </si>
  <si>
    <t>SERGIO GARCIA BARRADO</t>
  </si>
  <si>
    <t>JAIME MARIO GOMEZ ARRIERO</t>
  </si>
  <si>
    <t>ALVARO PEDROSA CAVADAS</t>
  </si>
  <si>
    <t>JOSE MARIA CANO JIMENEZ</t>
  </si>
  <si>
    <t>GERARDO GABRIEL SALCEDO</t>
  </si>
  <si>
    <t>ADRIAN LEON GALVAN</t>
  </si>
  <si>
    <t>POLARIS RZR PRO XP</t>
  </si>
  <si>
    <t>JON CAVADAS ORTEGA</t>
  </si>
  <si>
    <t>CAN-AM MAVERICK XRS</t>
  </si>
  <si>
    <t>ACTUALIZADO EL 24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</si>
</sst>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"/>
    <numFmt numFmtId="165" formatCode="d\-m;@"/>
    <numFmt numFmtId="166" formatCode="#,##0.00_-[$€ ]"/>
  </numFmts>
  <fonts count="100" x14ac:knownFonts="1"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i/>
      <sz val="12"/>
      <color rgb="FF000000"/>
      <name val="Calibri"/>
      <family val="2"/>
      <scheme val="minor"/>
    </font>
    <font>
      <sz val="7"/>
      <name val="Arial"/>
      <family val="2"/>
    </font>
    <font>
      <sz val="7"/>
      <color rgb="FF000000"/>
      <name val="Arial"/>
      <family val="2"/>
    </font>
    <font>
      <b/>
      <sz val="7"/>
      <color rgb="FF000000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7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u/>
      <sz val="8"/>
      <color rgb="FF000000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9"/>
      <name val="Century Gothic"/>
      <family val="2"/>
    </font>
    <font>
      <sz val="7"/>
      <name val="Century Gothic"/>
      <family val="2"/>
    </font>
    <font>
      <b/>
      <sz val="14"/>
      <name val="Century Gothic"/>
      <family val="2"/>
    </font>
    <font>
      <i/>
      <sz val="9"/>
      <name val="Century Gothic"/>
      <family val="2"/>
    </font>
    <font>
      <i/>
      <sz val="10"/>
      <name val="Century Gothic"/>
      <family val="2"/>
    </font>
    <font>
      <i/>
      <sz val="8"/>
      <name val="Century Gothic"/>
      <family val="2"/>
    </font>
    <font>
      <b/>
      <i/>
      <sz val="10"/>
      <name val="Century Gothic"/>
      <family val="2"/>
    </font>
    <font>
      <b/>
      <i/>
      <sz val="12"/>
      <name val="Century Gothic"/>
      <family val="2"/>
    </font>
    <font>
      <b/>
      <sz val="12"/>
      <name val="Century Gothic"/>
      <family val="2"/>
    </font>
    <font>
      <sz val="10"/>
      <name val="Century Gothic"/>
      <family val="2"/>
    </font>
    <font>
      <sz val="10"/>
      <color theme="1"/>
      <name val="Century Gothic"/>
      <family val="2"/>
    </font>
    <font>
      <sz val="10"/>
      <color rgb="FF000000"/>
      <name val="Times New Roman"/>
      <family val="1"/>
    </font>
    <font>
      <sz val="10"/>
      <name val="Arial"/>
      <family val="2"/>
    </font>
    <font>
      <sz val="7"/>
      <color indexed="8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indexed="8"/>
      <name val="Calibri"/>
      <family val="2"/>
    </font>
    <font>
      <b/>
      <i/>
      <sz val="16"/>
      <name val="Century Gothic"/>
      <family val="2"/>
    </font>
    <font>
      <i/>
      <sz val="12"/>
      <name val="Century Gothic"/>
      <family val="2"/>
    </font>
    <font>
      <b/>
      <sz val="18"/>
      <name val="Century Gothic"/>
      <family val="2"/>
    </font>
    <font>
      <sz val="8"/>
      <color rgb="FFFF0000"/>
      <name val="Century Gothic"/>
      <family val="2"/>
    </font>
    <font>
      <i/>
      <sz val="8"/>
      <color rgb="FFFF0000"/>
      <name val="Century Gothic"/>
      <family val="2"/>
    </font>
    <font>
      <i/>
      <sz val="11"/>
      <name val="Century Gothic"/>
      <family val="2"/>
    </font>
    <font>
      <i/>
      <sz val="11"/>
      <color rgb="FFFF0000"/>
      <name val="Century Gothic"/>
      <family val="2"/>
    </font>
    <font>
      <b/>
      <sz val="11"/>
      <name val="Century Gothic"/>
      <family val="2"/>
    </font>
    <font>
      <b/>
      <sz val="11"/>
      <color rgb="FFFF0000"/>
      <name val="Century Gothic"/>
      <family val="2"/>
    </font>
    <font>
      <b/>
      <i/>
      <sz val="11"/>
      <color rgb="FFFF0000"/>
      <name val="Century Gothic"/>
      <family val="2"/>
    </font>
    <font>
      <b/>
      <i/>
      <sz val="11"/>
      <name val="Century Gothic"/>
      <family val="2"/>
    </font>
    <font>
      <sz val="6"/>
      <name val="Century Gothic"/>
      <family val="2"/>
    </font>
    <font>
      <sz val="8"/>
      <name val="Century Gothic"/>
      <family val="2"/>
    </font>
    <font>
      <sz val="16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indexed="8"/>
      <name val="Calibri"/>
      <family val="2"/>
    </font>
    <font>
      <sz val="8"/>
      <name val="Times New Roman"/>
      <family val="1"/>
    </font>
    <font>
      <b/>
      <sz val="11"/>
      <color theme="1"/>
      <name val="Calibri"/>
      <family val="2"/>
      <scheme val="minor"/>
    </font>
    <font>
      <b/>
      <sz val="7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0" tint="-0.499984740745262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0"/>
      <color theme="0"/>
      <name val="Times New Roman"/>
      <family val="1"/>
    </font>
    <font>
      <b/>
      <sz val="8"/>
      <color theme="0"/>
      <name val="Times New Roman"/>
      <family val="1"/>
    </font>
    <font>
      <sz val="10"/>
      <color theme="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8"/>
      <color rgb="FF000000"/>
      <name val="Times New Roman"/>
      <family val="1"/>
    </font>
    <font>
      <b/>
      <sz val="10"/>
      <color rgb="FFFF000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6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indexed="8"/>
      <name val="Arial"/>
      <family val="2"/>
    </font>
    <font>
      <sz val="8"/>
      <color indexed="8"/>
      <name val="Times New Roman"/>
      <family val="1"/>
    </font>
    <font>
      <sz val="10"/>
      <color theme="1"/>
      <name val="Calibri"/>
      <family val="2"/>
      <scheme val="minor"/>
    </font>
    <font>
      <sz val="9"/>
      <color rgb="FF000000"/>
      <name val="Calibri Light"/>
      <family val="2"/>
      <scheme val="major"/>
    </font>
    <font>
      <sz val="9"/>
      <color indexed="8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theme="4"/>
      </patternFill>
    </fill>
    <fill>
      <patternFill patternType="solid">
        <fgColor rgb="FF00B050"/>
        <bgColor theme="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0000"/>
        <bgColor theme="4" tint="0.79998168889431442"/>
      </patternFill>
    </fill>
    <fill>
      <patternFill patternType="solid">
        <fgColor rgb="FF92D050"/>
        <bgColor theme="4" tint="0.79998168889431442"/>
      </patternFill>
    </fill>
    <fill>
      <patternFill patternType="solid">
        <fgColor rgb="FF00B0F0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</fills>
  <borders count="10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indexed="64"/>
      </left>
      <right style="thin">
        <color indexed="23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23"/>
      </right>
      <top style="thin">
        <color theme="0" tint="-0.249977111117893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indexed="64"/>
      </top>
      <bottom style="thin">
        <color theme="0" tint="-0.249977111117893"/>
      </bottom>
      <diagonal/>
    </border>
    <border>
      <left/>
      <right/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indexed="64"/>
      </bottom>
      <diagonal/>
    </border>
    <border>
      <left/>
      <right/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7">
    <xf numFmtId="0" fontId="0" fillId="0" borderId="0"/>
    <xf numFmtId="0" fontId="40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41" fillId="0" borderId="0">
      <alignment vertical="center" wrapText="1"/>
    </xf>
    <xf numFmtId="0" fontId="14" fillId="0" borderId="0"/>
    <xf numFmtId="0" fontId="13" fillId="0" borderId="0"/>
    <xf numFmtId="0" fontId="12" fillId="0" borderId="0"/>
    <xf numFmtId="0" fontId="11" fillId="0" borderId="0"/>
    <xf numFmtId="0" fontId="43" fillId="0" borderId="0"/>
    <xf numFmtId="0" fontId="10" fillId="0" borderId="0"/>
    <xf numFmtId="0" fontId="44" fillId="0" borderId="0"/>
    <xf numFmtId="0" fontId="9" fillId="0" borderId="0"/>
    <xf numFmtId="0" fontId="45" fillId="0" borderId="0"/>
    <xf numFmtId="0" fontId="8" fillId="0" borderId="0"/>
    <xf numFmtId="0" fontId="46" fillId="0" borderId="0" applyNumberFormat="0" applyFill="0" applyBorder="0" applyProtection="0"/>
    <xf numFmtId="0" fontId="7" fillId="0" borderId="0"/>
    <xf numFmtId="0" fontId="46" fillId="0" borderId="0" applyFill="0" applyProtection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62" fillId="0" borderId="0" applyFill="0" applyProtection="0"/>
  </cellStyleXfs>
  <cellXfs count="573">
    <xf numFmtId="0" fontId="0" fillId="0" borderId="0" xfId="0"/>
    <xf numFmtId="0" fontId="23" fillId="0" borderId="0" xfId="0" applyFont="1" applyAlignment="1">
      <alignment horizontal="right" vertical="top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/>
    </xf>
    <xf numFmtId="0" fontId="22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2" borderId="0" xfId="0" applyFont="1" applyFill="1" applyAlignment="1">
      <alignment horizontal="right" vertical="top"/>
    </xf>
    <xf numFmtId="0" fontId="28" fillId="5" borderId="3" xfId="0" applyFont="1" applyFill="1" applyBorder="1" applyAlignment="1">
      <alignment horizontal="center" vertical="center"/>
    </xf>
    <xf numFmtId="0" fontId="28" fillId="5" borderId="5" xfId="0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/>
    </xf>
    <xf numFmtId="16" fontId="21" fillId="3" borderId="3" xfId="0" applyNumberFormat="1" applyFont="1" applyFill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164" fontId="34" fillId="0" borderId="10" xfId="0" applyNumberFormat="1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6" fillId="0" borderId="9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8" fillId="0" borderId="9" xfId="0" applyFont="1" applyBorder="1"/>
    <xf numFmtId="0" fontId="38" fillId="0" borderId="3" xfId="0" applyFont="1" applyBorder="1" applyAlignment="1">
      <alignment horizontal="center"/>
    </xf>
    <xf numFmtId="2" fontId="38" fillId="0" borderId="10" xfId="0" applyNumberFormat="1" applyFont="1" applyBorder="1" applyAlignment="1">
      <alignment horizontal="center" vertical="center"/>
    </xf>
    <xf numFmtId="0" fontId="39" fillId="0" borderId="3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38" fillId="0" borderId="11" xfId="0" applyFont="1" applyBorder="1" applyAlignment="1">
      <alignment horizontal="center" vertical="center"/>
    </xf>
    <xf numFmtId="0" fontId="19" fillId="2" borderId="0" xfId="0" applyFont="1" applyFill="1" applyAlignment="1">
      <alignment vertical="center"/>
    </xf>
    <xf numFmtId="0" fontId="28" fillId="5" borderId="0" xfId="0" applyFont="1" applyFill="1" applyAlignment="1">
      <alignment horizontal="center" vertical="center"/>
    </xf>
    <xf numFmtId="0" fontId="28" fillId="5" borderId="0" xfId="0" applyFont="1" applyFill="1" applyAlignment="1">
      <alignment horizontal="left" vertical="top"/>
    </xf>
    <xf numFmtId="4" fontId="28" fillId="6" borderId="3" xfId="0" applyNumberFormat="1" applyFont="1" applyFill="1" applyBorder="1" applyAlignment="1">
      <alignment horizontal="center" vertical="center"/>
    </xf>
    <xf numFmtId="0" fontId="38" fillId="0" borderId="22" xfId="0" applyFont="1" applyBorder="1"/>
    <xf numFmtId="0" fontId="40" fillId="0" borderId="0" xfId="1" applyAlignment="1">
      <alignment vertical="center"/>
    </xf>
    <xf numFmtId="0" fontId="20" fillId="0" borderId="24" xfId="1" applyFont="1" applyBorder="1" applyAlignment="1">
      <alignment horizontal="center" vertical="center"/>
    </xf>
    <xf numFmtId="0" fontId="20" fillId="0" borderId="24" xfId="1" applyFont="1" applyBorder="1" applyAlignment="1">
      <alignment horizontal="center" vertical="center" wrapText="1"/>
    </xf>
    <xf numFmtId="1" fontId="20" fillId="0" borderId="24" xfId="1" applyNumberFormat="1" applyFont="1" applyBorder="1" applyAlignment="1">
      <alignment horizontal="center" vertical="center" wrapText="1"/>
    </xf>
    <xf numFmtId="0" fontId="50" fillId="0" borderId="25" xfId="1" applyFont="1" applyBorder="1" applyAlignment="1">
      <alignment horizontal="center" vertical="center" wrapText="1"/>
    </xf>
    <xf numFmtId="16" fontId="20" fillId="0" borderId="28" xfId="1" applyNumberFormat="1" applyFont="1" applyBorder="1" applyAlignment="1">
      <alignment horizontal="center" vertical="center" wrapText="1"/>
    </xf>
    <xf numFmtId="16" fontId="20" fillId="0" borderId="29" xfId="1" applyNumberFormat="1" applyFont="1" applyBorder="1" applyAlignment="1">
      <alignment horizontal="center" vertical="center" wrapText="1"/>
    </xf>
    <xf numFmtId="1" fontId="20" fillId="0" borderId="29" xfId="1" applyNumberFormat="1" applyFont="1" applyBorder="1" applyAlignment="1">
      <alignment horizontal="center" vertical="center" wrapText="1"/>
    </xf>
    <xf numFmtId="0" fontId="50" fillId="0" borderId="30" xfId="1" applyFont="1" applyBorder="1" applyAlignment="1">
      <alignment horizontal="center" vertical="center" wrapText="1"/>
    </xf>
    <xf numFmtId="0" fontId="32" fillId="0" borderId="27" xfId="1" applyFont="1" applyBorder="1" applyAlignment="1">
      <alignment horizontal="center" vertical="center"/>
    </xf>
    <xf numFmtId="0" fontId="33" fillId="0" borderId="28" xfId="1" applyFont="1" applyBorder="1" applyAlignment="1">
      <alignment horizontal="center" vertical="center"/>
    </xf>
    <xf numFmtId="0" fontId="34" fillId="0" borderId="28" xfId="1" applyFont="1" applyBorder="1" applyAlignment="1">
      <alignment horizontal="center" vertical="center"/>
    </xf>
    <xf numFmtId="0" fontId="20" fillId="0" borderId="28" xfId="1" applyFont="1" applyBorder="1" applyAlignment="1">
      <alignment horizontal="center" vertical="center" wrapText="1"/>
    </xf>
    <xf numFmtId="1" fontId="20" fillId="0" borderId="28" xfId="1" applyNumberFormat="1" applyFont="1" applyBorder="1" applyAlignment="1">
      <alignment horizontal="center" vertical="center" wrapText="1"/>
    </xf>
    <xf numFmtId="164" fontId="51" fillId="0" borderId="30" xfId="1" applyNumberFormat="1" applyFont="1" applyBorder="1" applyAlignment="1">
      <alignment horizontal="center" vertical="center"/>
    </xf>
    <xf numFmtId="164" fontId="34" fillId="0" borderId="31" xfId="1" applyNumberFormat="1" applyFont="1" applyBorder="1" applyAlignment="1">
      <alignment horizontal="center" vertical="center"/>
    </xf>
    <xf numFmtId="164" fontId="51" fillId="0" borderId="32" xfId="1" applyNumberFormat="1" applyFont="1" applyBorder="1" applyAlignment="1">
      <alignment horizontal="center" vertical="center"/>
    </xf>
    <xf numFmtId="0" fontId="34" fillId="0" borderId="33" xfId="1" applyFont="1" applyBorder="1" applyAlignment="1">
      <alignment horizontal="center" vertical="center"/>
    </xf>
    <xf numFmtId="0" fontId="52" fillId="0" borderId="28" xfId="1" applyFont="1" applyBorder="1" applyAlignment="1">
      <alignment horizontal="center" vertical="center"/>
    </xf>
    <xf numFmtId="0" fontId="20" fillId="0" borderId="34" xfId="1" applyFont="1" applyBorder="1" applyAlignment="1">
      <alignment horizontal="center" vertical="center" wrapText="1"/>
    </xf>
    <xf numFmtId="1" fontId="20" fillId="0" borderId="34" xfId="1" applyNumberFormat="1" applyFont="1" applyBorder="1" applyAlignment="1">
      <alignment horizontal="center" vertical="center" wrapText="1"/>
    </xf>
    <xf numFmtId="164" fontId="53" fillId="0" borderId="30" xfId="1" applyNumberFormat="1" applyFont="1" applyBorder="1" applyAlignment="1">
      <alignment horizontal="center" vertical="center"/>
    </xf>
    <xf numFmtId="164" fontId="34" fillId="0" borderId="35" xfId="1" applyNumberFormat="1" applyFont="1" applyBorder="1" applyAlignment="1">
      <alignment horizontal="center" vertical="center"/>
    </xf>
    <xf numFmtId="0" fontId="32" fillId="0" borderId="36" xfId="1" applyFont="1" applyBorder="1" applyAlignment="1">
      <alignment horizontal="center" vertical="center"/>
    </xf>
    <xf numFmtId="0" fontId="34" fillId="0" borderId="29" xfId="1" applyFont="1" applyBorder="1" applyAlignment="1">
      <alignment horizontal="center" vertical="center"/>
    </xf>
    <xf numFmtId="164" fontId="51" fillId="0" borderId="37" xfId="1" applyNumberFormat="1" applyFont="1" applyBorder="1" applyAlignment="1">
      <alignment horizontal="center" vertical="center"/>
    </xf>
    <xf numFmtId="0" fontId="34" fillId="0" borderId="20" xfId="1" applyFont="1" applyBorder="1" applyAlignment="1">
      <alignment horizontal="center" vertical="center"/>
    </xf>
    <xf numFmtId="0" fontId="35" fillId="0" borderId="38" xfId="1" applyFont="1" applyBorder="1" applyAlignment="1">
      <alignment horizontal="center" vertical="center"/>
    </xf>
    <xf numFmtId="0" fontId="54" fillId="0" borderId="39" xfId="1" applyFont="1" applyBorder="1" applyAlignment="1">
      <alignment horizontal="center" vertical="center"/>
    </xf>
    <xf numFmtId="0" fontId="55" fillId="0" borderId="39" xfId="1" applyFont="1" applyBorder="1" applyAlignment="1">
      <alignment horizontal="center" vertical="center"/>
    </xf>
    <xf numFmtId="0" fontId="56" fillId="0" borderId="6" xfId="1" applyFont="1" applyBorder="1" applyAlignment="1">
      <alignment horizontal="center" vertical="center"/>
    </xf>
    <xf numFmtId="164" fontId="53" fillId="0" borderId="6" xfId="1" applyNumberFormat="1" applyFont="1" applyBorder="1" applyAlignment="1">
      <alignment horizontal="center" vertical="center"/>
    </xf>
    <xf numFmtId="164" fontId="57" fillId="0" borderId="40" xfId="1" applyNumberFormat="1" applyFont="1" applyBorder="1" applyAlignment="1">
      <alignment horizontal="center" vertical="center"/>
    </xf>
    <xf numFmtId="0" fontId="34" fillId="0" borderId="41" xfId="1" applyFont="1" applyBorder="1" applyAlignment="1">
      <alignment horizontal="center" vertical="center"/>
    </xf>
    <xf numFmtId="0" fontId="34" fillId="0" borderId="34" xfId="1" applyFont="1" applyBorder="1" applyAlignment="1">
      <alignment horizontal="center" vertical="center"/>
    </xf>
    <xf numFmtId="0" fontId="51" fillId="0" borderId="34" xfId="1" applyFont="1" applyBorder="1" applyAlignment="1">
      <alignment horizontal="center" vertical="center"/>
    </xf>
    <xf numFmtId="0" fontId="51" fillId="0" borderId="42" xfId="1" applyFont="1" applyBorder="1" applyAlignment="1">
      <alignment horizontal="center" vertical="center"/>
    </xf>
    <xf numFmtId="0" fontId="34" fillId="0" borderId="43" xfId="1" applyFont="1" applyBorder="1" applyAlignment="1">
      <alignment horizontal="center" vertical="center"/>
    </xf>
    <xf numFmtId="0" fontId="51" fillId="0" borderId="43" xfId="1" applyFont="1" applyBorder="1" applyAlignment="1">
      <alignment horizontal="center" vertical="center"/>
    </xf>
    <xf numFmtId="0" fontId="34" fillId="0" borderId="44" xfId="1" applyFont="1" applyBorder="1" applyAlignment="1">
      <alignment horizontal="center" vertical="center"/>
    </xf>
    <xf numFmtId="0" fontId="34" fillId="0" borderId="45" xfId="1" applyFont="1" applyBorder="1" applyAlignment="1">
      <alignment horizontal="center" vertical="center"/>
    </xf>
    <xf numFmtId="0" fontId="34" fillId="0" borderId="46" xfId="1" applyFont="1" applyBorder="1" applyAlignment="1">
      <alignment horizontal="center" vertical="center"/>
    </xf>
    <xf numFmtId="0" fontId="38" fillId="0" borderId="0" xfId="1" applyFont="1" applyAlignment="1">
      <alignment vertical="center"/>
    </xf>
    <xf numFmtId="0" fontId="40" fillId="0" borderId="6" xfId="1" applyBorder="1" applyAlignment="1">
      <alignment horizontal="center" vertical="center"/>
    </xf>
    <xf numFmtId="0" fontId="48" fillId="0" borderId="6" xfId="1" applyFont="1" applyBorder="1" applyAlignment="1">
      <alignment horizontal="right" vertical="center"/>
    </xf>
    <xf numFmtId="0" fontId="35" fillId="0" borderId="28" xfId="1" applyFont="1" applyBorder="1" applyAlignment="1">
      <alignment horizontal="center" vertical="center"/>
    </xf>
    <xf numFmtId="0" fontId="33" fillId="0" borderId="29" xfId="1" applyFont="1" applyBorder="1" applyAlignment="1">
      <alignment horizontal="center" vertical="center"/>
    </xf>
    <xf numFmtId="0" fontId="35" fillId="0" borderId="39" xfId="1" applyFont="1" applyBorder="1" applyAlignment="1">
      <alignment horizontal="center" vertical="center"/>
    </xf>
    <xf numFmtId="2" fontId="34" fillId="0" borderId="47" xfId="1" applyNumberFormat="1" applyFont="1" applyBorder="1" applyAlignment="1">
      <alignment horizontal="center" vertical="center"/>
    </xf>
    <xf numFmtId="164" fontId="57" fillId="0" borderId="4" xfId="1" applyNumberFormat="1" applyFont="1" applyBorder="1" applyAlignment="1">
      <alignment horizontal="center" vertical="center"/>
    </xf>
    <xf numFmtId="0" fontId="51" fillId="0" borderId="48" xfId="1" applyFont="1" applyBorder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51" fillId="0" borderId="49" xfId="1" applyFont="1" applyBorder="1" applyAlignment="1">
      <alignment horizontal="center" vertical="center"/>
    </xf>
    <xf numFmtId="0" fontId="51" fillId="0" borderId="50" xfId="1" applyFont="1" applyBorder="1" applyAlignment="1">
      <alignment horizontal="center" vertical="center"/>
    </xf>
    <xf numFmtId="0" fontId="58" fillId="0" borderId="51" xfId="1" applyFont="1" applyBorder="1" applyAlignment="1">
      <alignment horizontal="center" vertical="center" wrapText="1"/>
    </xf>
    <xf numFmtId="0" fontId="58" fillId="0" borderId="52" xfId="1" applyFont="1" applyBorder="1" applyAlignment="1">
      <alignment horizontal="center" vertical="center" wrapText="1"/>
    </xf>
    <xf numFmtId="0" fontId="59" fillId="0" borderId="25" xfId="1" applyFont="1" applyBorder="1" applyAlignment="1">
      <alignment horizontal="center" vertical="center" wrapText="1"/>
    </xf>
    <xf numFmtId="165" fontId="59" fillId="0" borderId="33" xfId="1" applyNumberFormat="1" applyFont="1" applyBorder="1" applyAlignment="1">
      <alignment horizontal="center" vertical="center"/>
    </xf>
    <xf numFmtId="165" fontId="59" fillId="0" borderId="32" xfId="1" applyNumberFormat="1" applyFont="1" applyBorder="1" applyAlignment="1">
      <alignment horizontal="center" vertical="center"/>
    </xf>
    <xf numFmtId="0" fontId="59" fillId="0" borderId="30" xfId="1" applyFont="1" applyBorder="1" applyAlignment="1">
      <alignment horizontal="center" vertical="center" wrapText="1"/>
    </xf>
    <xf numFmtId="0" fontId="34" fillId="0" borderId="32" xfId="1" applyFont="1" applyBorder="1" applyAlignment="1">
      <alignment horizontal="center" vertical="center"/>
    </xf>
    <xf numFmtId="164" fontId="34" fillId="0" borderId="30" xfId="1" applyNumberFormat="1" applyFont="1" applyBorder="1" applyAlignment="1">
      <alignment horizontal="center" vertical="center"/>
    </xf>
    <xf numFmtId="164" fontId="34" fillId="0" borderId="32" xfId="1" applyNumberFormat="1" applyFont="1" applyBorder="1" applyAlignment="1">
      <alignment horizontal="center" vertical="center"/>
    </xf>
    <xf numFmtId="0" fontId="52" fillId="0" borderId="33" xfId="1" applyFont="1" applyBorder="1" applyAlignment="1">
      <alignment horizontal="center" vertical="center"/>
    </xf>
    <xf numFmtId="0" fontId="52" fillId="0" borderId="32" xfId="1" applyFont="1" applyBorder="1" applyAlignment="1">
      <alignment horizontal="center" vertical="center"/>
    </xf>
    <xf numFmtId="164" fontId="52" fillId="0" borderId="30" xfId="1" applyNumberFormat="1" applyFont="1" applyBorder="1" applyAlignment="1">
      <alignment horizontal="center" vertical="center"/>
    </xf>
    <xf numFmtId="0" fontId="34" fillId="0" borderId="53" xfId="1" applyFont="1" applyBorder="1" applyAlignment="1">
      <alignment horizontal="center" vertical="center"/>
    </xf>
    <xf numFmtId="0" fontId="34" fillId="0" borderId="54" xfId="1" applyFont="1" applyBorder="1" applyAlignment="1">
      <alignment horizontal="center" vertical="center"/>
    </xf>
    <xf numFmtId="0" fontId="34" fillId="0" borderId="37" xfId="1" applyFont="1" applyBorder="1" applyAlignment="1">
      <alignment horizontal="center" vertical="center"/>
    </xf>
    <xf numFmtId="164" fontId="34" fillId="0" borderId="37" xfId="1" applyNumberFormat="1" applyFont="1" applyBorder="1" applyAlignment="1">
      <alignment horizontal="center" vertical="center"/>
    </xf>
    <xf numFmtId="164" fontId="34" fillId="0" borderId="50" xfId="1" applyNumberFormat="1" applyFont="1" applyBorder="1" applyAlignment="1">
      <alignment horizontal="center" vertical="center"/>
    </xf>
    <xf numFmtId="0" fontId="54" fillId="0" borderId="55" xfId="1" applyFont="1" applyBorder="1" applyAlignment="1">
      <alignment horizontal="center" vertical="center"/>
    </xf>
    <xf numFmtId="0" fontId="54" fillId="0" borderId="6" xfId="1" applyFont="1" applyBorder="1" applyAlignment="1">
      <alignment horizontal="center" vertical="center"/>
    </xf>
    <xf numFmtId="0" fontId="57" fillId="0" borderId="6" xfId="1" applyFont="1" applyBorder="1" applyAlignment="1">
      <alignment horizontal="center" vertical="center"/>
    </xf>
    <xf numFmtId="164" fontId="52" fillId="0" borderId="6" xfId="1" applyNumberFormat="1" applyFont="1" applyBorder="1" applyAlignment="1">
      <alignment horizontal="center" vertical="center"/>
    </xf>
    <xf numFmtId="164" fontId="34" fillId="0" borderId="56" xfId="1" applyNumberFormat="1" applyFont="1" applyBorder="1" applyAlignment="1">
      <alignment horizontal="center" vertical="center"/>
    </xf>
    <xf numFmtId="0" fontId="34" fillId="0" borderId="57" xfId="1" applyFont="1" applyBorder="1" applyAlignment="1">
      <alignment horizontal="center" vertical="center"/>
    </xf>
    <xf numFmtId="0" fontId="34" fillId="0" borderId="48" xfId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4" fillId="0" borderId="49" xfId="1" applyFont="1" applyBorder="1" applyAlignment="1">
      <alignment horizontal="center" vertical="center"/>
    </xf>
    <xf numFmtId="0" fontId="34" fillId="0" borderId="58" xfId="1" applyFont="1" applyBorder="1" applyAlignment="1">
      <alignment horizontal="center" vertical="center"/>
    </xf>
    <xf numFmtId="0" fontId="34" fillId="0" borderId="21" xfId="1" applyFont="1" applyBorder="1" applyAlignment="1">
      <alignment horizontal="center" vertical="center"/>
    </xf>
    <xf numFmtId="0" fontId="34" fillId="0" borderId="40" xfId="1" applyFont="1" applyBorder="1" applyAlignment="1">
      <alignment horizontal="center" vertical="center"/>
    </xf>
    <xf numFmtId="0" fontId="40" fillId="0" borderId="0" xfId="1" applyAlignment="1">
      <alignment horizontal="center" vertical="center"/>
    </xf>
    <xf numFmtId="2" fontId="34" fillId="0" borderId="20" xfId="1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7" fillId="2" borderId="0" xfId="0" applyFont="1" applyFill="1" applyAlignment="1">
      <alignment vertical="top"/>
    </xf>
    <xf numFmtId="0" fontId="40" fillId="0" borderId="0" xfId="1" applyAlignment="1">
      <alignment horizontal="left" vertical="top"/>
    </xf>
    <xf numFmtId="0" fontId="60" fillId="0" borderId="0" xfId="1" applyFont="1" applyAlignment="1">
      <alignment vertical="center"/>
    </xf>
    <xf numFmtId="0" fontId="61" fillId="0" borderId="0" xfId="1" applyFont="1" applyAlignment="1">
      <alignment horizontal="left" vertical="top"/>
    </xf>
    <xf numFmtId="0" fontId="61" fillId="0" borderId="0" xfId="1" applyFont="1" applyAlignment="1">
      <alignment horizontal="center" vertical="center"/>
    </xf>
    <xf numFmtId="164" fontId="61" fillId="0" borderId="0" xfId="1" applyNumberFormat="1" applyFont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38" fillId="0" borderId="3" xfId="0" applyFont="1" applyBorder="1"/>
    <xf numFmtId="0" fontId="34" fillId="4" borderId="45" xfId="1" applyFont="1" applyFill="1" applyBorder="1" applyAlignment="1">
      <alignment horizontal="center" vertical="center"/>
    </xf>
    <xf numFmtId="0" fontId="24" fillId="2" borderId="0" xfId="0" applyFont="1" applyFill="1" applyAlignment="1">
      <alignment horizontal="left" vertical="top"/>
    </xf>
    <xf numFmtId="0" fontId="65" fillId="13" borderId="1" xfId="0" applyFont="1" applyFill="1" applyBorder="1" applyAlignment="1">
      <alignment horizontal="center" vertical="center"/>
    </xf>
    <xf numFmtId="1" fontId="65" fillId="13" borderId="1" xfId="0" applyNumberFormat="1" applyFont="1" applyFill="1" applyBorder="1" applyAlignment="1">
      <alignment horizontal="center" vertical="center" wrapText="1"/>
    </xf>
    <xf numFmtId="0" fontId="68" fillId="0" borderId="1" xfId="0" applyFont="1" applyBorder="1" applyAlignment="1">
      <alignment horizontal="center" vertical="center"/>
    </xf>
    <xf numFmtId="0" fontId="69" fillId="0" borderId="1" xfId="0" applyFont="1" applyBorder="1" applyAlignment="1">
      <alignment vertical="center"/>
    </xf>
    <xf numFmtId="0" fontId="69" fillId="0" borderId="1" xfId="0" applyFont="1" applyBorder="1" applyAlignment="1">
      <alignment horizontal="center" vertical="center"/>
    </xf>
    <xf numFmtId="0" fontId="69" fillId="0" borderId="12" xfId="0" applyFont="1" applyBorder="1" applyAlignment="1">
      <alignment horizontal="center" vertical="center"/>
    </xf>
    <xf numFmtId="1" fontId="69" fillId="0" borderId="1" xfId="0" applyNumberFormat="1" applyFont="1" applyBorder="1" applyAlignment="1">
      <alignment horizontal="center" vertical="center" wrapText="1"/>
    </xf>
    <xf numFmtId="1" fontId="69" fillId="12" borderId="1" xfId="0" applyNumberFormat="1" applyFont="1" applyFill="1" applyBorder="1" applyAlignment="1">
      <alignment horizontal="center" vertical="center"/>
    </xf>
    <xf numFmtId="1" fontId="70" fillId="0" borderId="1" xfId="0" applyNumberFormat="1" applyFont="1" applyBorder="1" applyAlignment="1">
      <alignment horizontal="center" vertical="center"/>
    </xf>
    <xf numFmtId="1" fontId="71" fillId="0" borderId="16" xfId="0" applyNumberFormat="1" applyFont="1" applyBorder="1" applyAlignment="1">
      <alignment horizontal="center" vertical="center"/>
    </xf>
    <xf numFmtId="0" fontId="61" fillId="0" borderId="12" xfId="0" applyFont="1" applyBorder="1" applyAlignment="1">
      <alignment horizontal="center" vertical="center"/>
    </xf>
    <xf numFmtId="0" fontId="69" fillId="0" borderId="1" xfId="0" applyFont="1" applyBorder="1" applyAlignment="1">
      <alignment horizontal="left" vertical="center"/>
    </xf>
    <xf numFmtId="0" fontId="71" fillId="0" borderId="16" xfId="0" applyFont="1" applyBorder="1" applyAlignment="1">
      <alignment horizontal="center" vertical="center"/>
    </xf>
    <xf numFmtId="0" fontId="70" fillId="0" borderId="0" xfId="0" applyFont="1" applyAlignment="1">
      <alignment horizontal="right" vertical="top"/>
    </xf>
    <xf numFmtId="0" fontId="73" fillId="0" borderId="0" xfId="0" applyFont="1" applyAlignment="1">
      <alignment horizontal="left" vertical="center"/>
    </xf>
    <xf numFmtId="0" fontId="73" fillId="0" borderId="0" xfId="0" applyFont="1" applyAlignment="1">
      <alignment horizontal="center" vertical="center"/>
    </xf>
    <xf numFmtId="0" fontId="74" fillId="0" borderId="0" xfId="0" applyFont="1" applyAlignment="1">
      <alignment horizontal="center" vertical="center"/>
    </xf>
    <xf numFmtId="0" fontId="75" fillId="0" borderId="0" xfId="0" applyFont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24" fillId="2" borderId="0" xfId="0" applyFont="1" applyFill="1" applyAlignment="1">
      <alignment horizontal="center" vertical="top"/>
    </xf>
    <xf numFmtId="0" fontId="69" fillId="0" borderId="1" xfId="0" applyFont="1" applyBorder="1" applyAlignment="1">
      <alignment horizontal="left" vertical="top"/>
    </xf>
    <xf numFmtId="0" fontId="68" fillId="0" borderId="0" xfId="0" applyFont="1" applyAlignment="1">
      <alignment horizontal="center" vertical="center"/>
    </xf>
    <xf numFmtId="0" fontId="69" fillId="0" borderId="0" xfId="0" applyFont="1" applyAlignment="1">
      <alignment horizontal="left" vertical="top"/>
    </xf>
    <xf numFmtId="0" fontId="69" fillId="0" borderId="0" xfId="0" applyFont="1" applyAlignment="1">
      <alignment horizontal="center" vertical="center"/>
    </xf>
    <xf numFmtId="0" fontId="69" fillId="0" borderId="0" xfId="0" applyFont="1" applyAlignment="1">
      <alignment horizontal="left" vertical="center"/>
    </xf>
    <xf numFmtId="0" fontId="26" fillId="0" borderId="0" xfId="0" applyFont="1" applyAlignment="1">
      <alignment horizontal="right" vertical="top"/>
    </xf>
    <xf numFmtId="49" fontId="81" fillId="13" borderId="17" xfId="0" applyNumberFormat="1" applyFont="1" applyFill="1" applyBorder="1" applyAlignment="1">
      <alignment wrapText="1"/>
    </xf>
    <xf numFmtId="0" fontId="28" fillId="5" borderId="61" xfId="0" applyFont="1" applyFill="1" applyBorder="1" applyAlignment="1">
      <alignment horizontal="center" vertical="center"/>
    </xf>
    <xf numFmtId="0" fontId="79" fillId="13" borderId="66" xfId="0" applyFont="1" applyFill="1" applyBorder="1" applyAlignment="1">
      <alignment horizontal="center" vertical="center" wrapText="1"/>
    </xf>
    <xf numFmtId="49" fontId="79" fillId="13" borderId="66" xfId="0" applyNumberFormat="1" applyFont="1" applyFill="1" applyBorder="1" applyAlignment="1">
      <alignment horizontal="center" vertical="center" wrapText="1"/>
    </xf>
    <xf numFmtId="49" fontId="79" fillId="13" borderId="12" xfId="0" applyNumberFormat="1" applyFont="1" applyFill="1" applyBorder="1" applyAlignment="1">
      <alignment vertical="center" wrapText="1"/>
    </xf>
    <xf numFmtId="0" fontId="80" fillId="13" borderId="66" xfId="0" applyFont="1" applyFill="1" applyBorder="1" applyAlignment="1">
      <alignment horizontal="centerContinuous" vertical="center" wrapText="1"/>
    </xf>
    <xf numFmtId="0" fontId="80" fillId="13" borderId="17" xfId="0" applyFont="1" applyFill="1" applyBorder="1" applyAlignment="1">
      <alignment horizontal="centerContinuous" vertical="center" wrapText="1"/>
    </xf>
    <xf numFmtId="0" fontId="83" fillId="2" borderId="0" xfId="0" applyFont="1" applyFill="1" applyAlignment="1">
      <alignment horizontal="centerContinuous" wrapText="1"/>
    </xf>
    <xf numFmtId="0" fontId="84" fillId="0" borderId="0" xfId="0" applyFont="1" applyAlignment="1">
      <alignment horizontal="centerContinuous" wrapText="1"/>
    </xf>
    <xf numFmtId="0" fontId="77" fillId="2" borderId="15" xfId="0" applyFont="1" applyFill="1" applyBorder="1" applyAlignment="1">
      <alignment horizontal="centerContinuous" vertical="top" wrapText="1"/>
    </xf>
    <xf numFmtId="0" fontId="0" fillId="0" borderId="15" xfId="0" applyBorder="1" applyAlignment="1">
      <alignment horizontal="centerContinuous" wrapText="1"/>
    </xf>
    <xf numFmtId="0" fontId="72" fillId="13" borderId="12" xfId="0" applyFont="1" applyFill="1" applyBorder="1" applyAlignment="1">
      <alignment vertical="center" wrapText="1"/>
    </xf>
    <xf numFmtId="0" fontId="78" fillId="13" borderId="17" xfId="0" applyFont="1" applyFill="1" applyBorder="1"/>
    <xf numFmtId="0" fontId="72" fillId="13" borderId="66" xfId="0" applyFont="1" applyFill="1" applyBorder="1" applyAlignment="1">
      <alignment horizontal="center" vertical="center"/>
    </xf>
    <xf numFmtId="49" fontId="82" fillId="13" borderId="0" xfId="0" applyNumberFormat="1" applyFont="1" applyFill="1" applyAlignment="1">
      <alignment horizontal="centerContinuous" wrapText="1"/>
    </xf>
    <xf numFmtId="0" fontId="87" fillId="0" borderId="0" xfId="19" applyFont="1" applyFill="1" applyProtection="1"/>
    <xf numFmtId="49" fontId="86" fillId="13" borderId="0" xfId="19" applyNumberFormat="1" applyFont="1" applyFill="1" applyAlignment="1" applyProtection="1">
      <alignment horizontal="centerContinuous" vertical="center" wrapText="1"/>
    </xf>
    <xf numFmtId="0" fontId="88" fillId="0" borderId="0" xfId="19" applyFont="1" applyFill="1" applyAlignment="1" applyProtection="1">
      <alignment horizontal="centerContinuous"/>
    </xf>
    <xf numFmtId="0" fontId="88" fillId="0" borderId="0" xfId="19" applyFont="1" applyFill="1" applyProtection="1"/>
    <xf numFmtId="0" fontId="89" fillId="0" borderId="0" xfId="19" applyFont="1" applyFill="1" applyAlignment="1" applyProtection="1">
      <alignment horizontal="center"/>
    </xf>
    <xf numFmtId="0" fontId="89" fillId="0" borderId="62" xfId="19" applyFont="1" applyFill="1" applyBorder="1" applyAlignment="1" applyProtection="1">
      <alignment horizontal="center"/>
    </xf>
    <xf numFmtId="0" fontId="89" fillId="4" borderId="62" xfId="19" applyFont="1" applyFill="1" applyBorder="1" applyAlignment="1" applyProtection="1">
      <alignment horizontal="center"/>
    </xf>
    <xf numFmtId="0" fontId="90" fillId="0" borderId="0" xfId="19" applyFont="1" applyFill="1" applyProtection="1"/>
    <xf numFmtId="0" fontId="90" fillId="0" borderId="0" xfId="19" applyFont="1" applyFill="1" applyAlignment="1" applyProtection="1">
      <alignment horizontal="center"/>
    </xf>
    <xf numFmtId="49" fontId="90" fillId="0" borderId="0" xfId="19" applyNumberFormat="1" applyFont="1" applyFill="1" applyAlignment="1" applyProtection="1">
      <alignment horizontal="center" vertical="center"/>
    </xf>
    <xf numFmtId="0" fontId="89" fillId="0" borderId="0" xfId="19" applyFont="1" applyFill="1" applyAlignment="1" applyProtection="1">
      <alignment horizontal="center" vertical="center"/>
    </xf>
    <xf numFmtId="0" fontId="90" fillId="0" borderId="0" xfId="19" applyFont="1" applyFill="1" applyAlignment="1" applyProtection="1">
      <alignment horizontal="center" vertical="center"/>
    </xf>
    <xf numFmtId="0" fontId="76" fillId="14" borderId="0" xfId="19" applyFont="1" applyFill="1" applyAlignment="1" applyProtection="1">
      <alignment horizontal="center"/>
    </xf>
    <xf numFmtId="0" fontId="87" fillId="14" borderId="0" xfId="19" applyFont="1" applyFill="1" applyProtection="1"/>
    <xf numFmtId="0" fontId="76" fillId="0" borderId="0" xfId="19" applyFont="1" applyFill="1" applyAlignment="1" applyProtection="1">
      <alignment horizontal="center"/>
    </xf>
    <xf numFmtId="166" fontId="90" fillId="0" borderId="0" xfId="19" applyNumberFormat="1" applyFont="1" applyFill="1" applyAlignment="1" applyProtection="1">
      <alignment horizontal="center" vertical="center"/>
    </xf>
    <xf numFmtId="0" fontId="64" fillId="11" borderId="0" xfId="19" applyFont="1" applyFill="1" applyAlignment="1">
      <alignment horizontal="center"/>
    </xf>
    <xf numFmtId="0" fontId="87" fillId="0" borderId="0" xfId="19" applyFont="1" applyFill="1" applyAlignment="1" applyProtection="1">
      <alignment horizontal="center" vertical="center"/>
    </xf>
    <xf numFmtId="0" fontId="91" fillId="0" borderId="0" xfId="19" applyFont="1" applyFill="1" applyProtection="1"/>
    <xf numFmtId="166" fontId="92" fillId="0" borderId="0" xfId="19" applyNumberFormat="1" applyFont="1" applyFill="1" applyProtection="1"/>
    <xf numFmtId="0" fontId="92" fillId="0" borderId="0" xfId="19" applyFont="1" applyFill="1" applyProtection="1"/>
    <xf numFmtId="0" fontId="64" fillId="0" borderId="0" xfId="19" applyFont="1" applyFill="1" applyAlignment="1">
      <alignment horizontal="center"/>
    </xf>
    <xf numFmtId="0" fontId="93" fillId="0" borderId="0" xfId="19" applyFont="1" applyFill="1"/>
    <xf numFmtId="0" fontId="93" fillId="0" borderId="0" xfId="19" applyFont="1" applyFill="1" applyAlignment="1">
      <alignment horizontal="center"/>
    </xf>
    <xf numFmtId="0" fontId="87" fillId="0" borderId="0" xfId="19" applyFont="1" applyFill="1" applyAlignment="1" applyProtection="1">
      <alignment horizontal="center"/>
    </xf>
    <xf numFmtId="166" fontId="87" fillId="0" borderId="0" xfId="19" applyNumberFormat="1" applyFont="1" applyFill="1" applyProtection="1"/>
    <xf numFmtId="0" fontId="89" fillId="15" borderId="62" xfId="19" applyFont="1" applyFill="1" applyBorder="1" applyAlignment="1" applyProtection="1">
      <alignment horizontal="center"/>
    </xf>
    <xf numFmtId="0" fontId="87" fillId="0" borderId="0" xfId="19" applyFont="1" applyFill="1" applyAlignment="1" applyProtection="1">
      <alignment horizontal="centerContinuous"/>
    </xf>
    <xf numFmtId="0" fontId="87" fillId="13" borderId="0" xfId="19" applyFont="1" applyFill="1" applyProtection="1"/>
    <xf numFmtId="0" fontId="87" fillId="13" borderId="0" xfId="19" applyFont="1" applyFill="1" applyAlignment="1" applyProtection="1">
      <alignment horizontal="centerContinuous"/>
    </xf>
    <xf numFmtId="0" fontId="89" fillId="0" borderId="0" xfId="19" applyFont="1" applyFill="1" applyAlignment="1" applyProtection="1">
      <alignment horizontal="centerContinuous"/>
    </xf>
    <xf numFmtId="0" fontId="64" fillId="0" borderId="0" xfId="19" applyFont="1" applyFill="1" applyAlignment="1">
      <alignment horizontal="centerContinuous"/>
    </xf>
    <xf numFmtId="0" fontId="93" fillId="0" borderId="0" xfId="19" applyFont="1" applyFill="1" applyAlignment="1">
      <alignment horizontal="centerContinuous"/>
    </xf>
    <xf numFmtId="166" fontId="90" fillId="0" borderId="0" xfId="19" applyNumberFormat="1" applyFont="1" applyFill="1" applyAlignment="1" applyProtection="1">
      <alignment horizontal="centerContinuous" vertical="center"/>
    </xf>
    <xf numFmtId="0" fontId="93" fillId="0" borderId="0" xfId="19" applyFont="1" applyFill="1" applyProtection="1"/>
    <xf numFmtId="0" fontId="76" fillId="4" borderId="62" xfId="19" applyFont="1" applyFill="1" applyBorder="1" applyAlignment="1" applyProtection="1">
      <alignment horizontal="center"/>
    </xf>
    <xf numFmtId="0" fontId="76" fillId="16" borderId="62" xfId="19" applyFont="1" applyFill="1" applyBorder="1" applyAlignment="1" applyProtection="1">
      <alignment horizontal="center"/>
    </xf>
    <xf numFmtId="0" fontId="76" fillId="17" borderId="62" xfId="19" applyFont="1" applyFill="1" applyBorder="1" applyAlignment="1" applyProtection="1">
      <alignment horizontal="center"/>
    </xf>
    <xf numFmtId="0" fontId="76" fillId="4" borderId="65" xfId="19" applyFont="1" applyFill="1" applyBorder="1" applyAlignment="1">
      <alignment horizontal="center"/>
    </xf>
    <xf numFmtId="0" fontId="76" fillId="16" borderId="65" xfId="19" applyFont="1" applyFill="1" applyBorder="1" applyAlignment="1">
      <alignment horizontal="center"/>
    </xf>
    <xf numFmtId="0" fontId="76" fillId="17" borderId="65" xfId="19" applyFont="1" applyFill="1" applyBorder="1" applyAlignment="1">
      <alignment horizontal="center"/>
    </xf>
    <xf numFmtId="0" fontId="76" fillId="10" borderId="0" xfId="19" applyFont="1" applyFill="1" applyAlignment="1">
      <alignment horizontal="center"/>
    </xf>
    <xf numFmtId="0" fontId="76" fillId="16" borderId="62" xfId="19" applyFont="1" applyFill="1" applyBorder="1" applyAlignment="1">
      <alignment horizontal="center"/>
    </xf>
    <xf numFmtId="0" fontId="76" fillId="17" borderId="62" xfId="19" applyFont="1" applyFill="1" applyBorder="1" applyAlignment="1">
      <alignment horizontal="center"/>
    </xf>
    <xf numFmtId="0" fontId="94" fillId="0" borderId="0" xfId="19" applyFont="1" applyFill="1" applyProtection="1"/>
    <xf numFmtId="49" fontId="66" fillId="13" borderId="68" xfId="0" applyNumberFormat="1" applyFont="1" applyFill="1" applyBorder="1" applyAlignment="1">
      <alignment horizontal="centerContinuous" vertical="top" wrapText="1"/>
    </xf>
    <xf numFmtId="49" fontId="61" fillId="13" borderId="15" xfId="0" applyNumberFormat="1" applyFont="1" applyFill="1" applyBorder="1" applyAlignment="1">
      <alignment horizontal="centerContinuous" vertical="top"/>
    </xf>
    <xf numFmtId="49" fontId="61" fillId="13" borderId="67" xfId="0" applyNumberFormat="1" applyFont="1" applyFill="1" applyBorder="1" applyAlignment="1">
      <alignment horizontal="centerContinuous" vertical="top"/>
    </xf>
    <xf numFmtId="49" fontId="61" fillId="13" borderId="15" xfId="0" applyNumberFormat="1" applyFont="1" applyFill="1" applyBorder="1" applyAlignment="1">
      <alignment horizontal="centerContinuous" vertical="top" wrapText="1"/>
    </xf>
    <xf numFmtId="49" fontId="61" fillId="13" borderId="67" xfId="0" applyNumberFormat="1" applyFont="1" applyFill="1" applyBorder="1" applyAlignment="1">
      <alignment horizontal="centerContinuous" vertical="top" wrapText="1"/>
    </xf>
    <xf numFmtId="0" fontId="65" fillId="13" borderId="13" xfId="0" applyFont="1" applyFill="1" applyBorder="1" applyAlignment="1">
      <alignment horizontal="centerContinuous" wrapText="1"/>
    </xf>
    <xf numFmtId="0" fontId="61" fillId="13" borderId="16" xfId="0" applyFont="1" applyFill="1" applyBorder="1" applyAlignment="1">
      <alignment horizontal="centerContinuous"/>
    </xf>
    <xf numFmtId="0" fontId="61" fillId="13" borderId="19" xfId="0" applyFont="1" applyFill="1" applyBorder="1" applyAlignment="1">
      <alignment horizontal="centerContinuous"/>
    </xf>
    <xf numFmtId="0" fontId="61" fillId="13" borderId="16" xfId="0" applyFont="1" applyFill="1" applyBorder="1" applyAlignment="1">
      <alignment horizontal="centerContinuous" wrapText="1"/>
    </xf>
    <xf numFmtId="0" fontId="61" fillId="13" borderId="19" xfId="0" applyFont="1" applyFill="1" applyBorder="1" applyAlignment="1">
      <alignment horizontal="centerContinuous" wrapText="1"/>
    </xf>
    <xf numFmtId="1" fontId="69" fillId="18" borderId="1" xfId="0" applyNumberFormat="1" applyFont="1" applyFill="1" applyBorder="1" applyAlignment="1">
      <alignment horizontal="center" vertical="center" wrapText="1"/>
    </xf>
    <xf numFmtId="0" fontId="70" fillId="7" borderId="1" xfId="0" applyFont="1" applyFill="1" applyBorder="1" applyAlignment="1">
      <alignment horizontal="center" vertical="center"/>
    </xf>
    <xf numFmtId="0" fontId="95" fillId="4" borderId="60" xfId="0" applyFont="1" applyFill="1" applyBorder="1" applyAlignment="1">
      <alignment horizontal="center" vertical="top"/>
    </xf>
    <xf numFmtId="0" fontId="95" fillId="4" borderId="59" xfId="0" applyFont="1" applyFill="1" applyBorder="1" applyAlignment="1">
      <alignment horizontal="center" vertical="top"/>
    </xf>
    <xf numFmtId="0" fontId="96" fillId="5" borderId="3" xfId="0" applyFont="1" applyFill="1" applyBorder="1" applyAlignment="1">
      <alignment horizontal="center" vertical="center"/>
    </xf>
    <xf numFmtId="0" fontId="95" fillId="4" borderId="61" xfId="0" applyFont="1" applyFill="1" applyBorder="1" applyAlignment="1">
      <alignment horizontal="left" vertical="top"/>
    </xf>
    <xf numFmtId="0" fontId="70" fillId="0" borderId="20" xfId="0" applyFont="1" applyBorder="1" applyAlignment="1">
      <alignment horizontal="center" vertical="center"/>
    </xf>
    <xf numFmtId="0" fontId="85" fillId="0" borderId="0" xfId="19" applyFont="1" applyFill="1"/>
    <xf numFmtId="0" fontId="74" fillId="0" borderId="0" xfId="0" applyFont="1" applyAlignment="1">
      <alignment horizontal="right" vertical="center"/>
    </xf>
    <xf numFmtId="0" fontId="24" fillId="2" borderId="0" xfId="0" applyFont="1" applyFill="1" applyAlignment="1">
      <alignment horizontal="right" vertical="top"/>
    </xf>
    <xf numFmtId="0" fontId="69" fillId="0" borderId="14" xfId="0" applyFont="1" applyBorder="1" applyAlignment="1">
      <alignment horizontal="left" vertical="center"/>
    </xf>
    <xf numFmtId="0" fontId="69" fillId="0" borderId="18" xfId="0" applyFont="1" applyBorder="1" applyAlignment="1">
      <alignment horizontal="left" vertical="center"/>
    </xf>
    <xf numFmtId="0" fontId="70" fillId="0" borderId="0" xfId="0" applyFont="1" applyAlignment="1">
      <alignment horizontal="center" vertical="center"/>
    </xf>
    <xf numFmtId="1" fontId="71" fillId="0" borderId="0" xfId="0" applyNumberFormat="1" applyFont="1" applyAlignment="1">
      <alignment horizontal="center" vertical="center"/>
    </xf>
    <xf numFmtId="0" fontId="61" fillId="0" borderId="0" xfId="0" applyFont="1"/>
    <xf numFmtId="0" fontId="69" fillId="0" borderId="0" xfId="0" applyFont="1" applyAlignment="1">
      <alignment vertical="center"/>
    </xf>
    <xf numFmtId="0" fontId="85" fillId="0" borderId="0" xfId="19" applyFont="1" applyFill="1" applyProtection="1"/>
    <xf numFmtId="0" fontId="90" fillId="4" borderId="0" xfId="19" applyFont="1" applyFill="1" applyProtection="1"/>
    <xf numFmtId="0" fontId="90" fillId="19" borderId="0" xfId="19" applyFont="1" applyFill="1" applyProtection="1"/>
    <xf numFmtId="0" fontId="90" fillId="9" borderId="0" xfId="19" applyFont="1" applyFill="1" applyProtection="1"/>
    <xf numFmtId="0" fontId="90" fillId="8" borderId="0" xfId="19" applyFont="1" applyFill="1" applyProtection="1"/>
    <xf numFmtId="0" fontId="90" fillId="20" borderId="0" xfId="19" applyFont="1" applyFill="1" applyProtection="1"/>
    <xf numFmtId="0" fontId="90" fillId="21" borderId="0" xfId="19" applyFont="1" applyFill="1" applyProtection="1"/>
    <xf numFmtId="0" fontId="90" fillId="4" borderId="69" xfId="19" applyFont="1" applyFill="1" applyBorder="1"/>
    <xf numFmtId="0" fontId="90" fillId="9" borderId="69" xfId="19" applyFont="1" applyFill="1" applyBorder="1"/>
    <xf numFmtId="0" fontId="90" fillId="19" borderId="69" xfId="19" applyFont="1" applyFill="1" applyBorder="1"/>
    <xf numFmtId="0" fontId="90" fillId="8" borderId="69" xfId="19" applyFont="1" applyFill="1" applyBorder="1"/>
    <xf numFmtId="0" fontId="90" fillId="20" borderId="69" xfId="19" applyFont="1" applyFill="1" applyBorder="1"/>
    <xf numFmtId="49" fontId="61" fillId="13" borderId="71" xfId="0" applyNumberFormat="1" applyFont="1" applyFill="1" applyBorder="1" applyAlignment="1">
      <alignment horizontal="centerContinuous" vertical="top" wrapText="1"/>
    </xf>
    <xf numFmtId="49" fontId="81" fillId="13" borderId="67" xfId="0" applyNumberFormat="1" applyFont="1" applyFill="1" applyBorder="1" applyAlignment="1">
      <alignment wrapText="1"/>
    </xf>
    <xf numFmtId="0" fontId="61" fillId="13" borderId="0" xfId="0" applyFont="1" applyFill="1" applyAlignment="1">
      <alignment horizontal="centerContinuous"/>
    </xf>
    <xf numFmtId="0" fontId="65" fillId="13" borderId="70" xfId="0" applyFont="1" applyFill="1" applyBorder="1" applyAlignment="1">
      <alignment horizontal="centerContinuous" wrapText="1"/>
    </xf>
    <xf numFmtId="0" fontId="61" fillId="13" borderId="0" xfId="0" applyFont="1" applyFill="1" applyAlignment="1">
      <alignment horizontal="centerContinuous" wrapText="1"/>
    </xf>
    <xf numFmtId="0" fontId="61" fillId="13" borderId="71" xfId="0" applyFont="1" applyFill="1" applyBorder="1" applyAlignment="1">
      <alignment horizontal="centerContinuous" wrapText="1"/>
    </xf>
    <xf numFmtId="0" fontId="24" fillId="2" borderId="0" xfId="0" applyFont="1" applyFill="1" applyAlignment="1">
      <alignment vertical="top"/>
    </xf>
    <xf numFmtId="0" fontId="74" fillId="0" borderId="0" xfId="0" applyFont="1" applyAlignment="1">
      <alignment vertical="top"/>
    </xf>
    <xf numFmtId="0" fontId="90" fillId="21" borderId="69" xfId="19" applyFont="1" applyFill="1" applyBorder="1"/>
    <xf numFmtId="0" fontId="24" fillId="2" borderId="0" xfId="0" applyFont="1" applyFill="1" applyAlignment="1">
      <alignment horizontal="centerContinuous" vertical="top"/>
    </xf>
    <xf numFmtId="0" fontId="25" fillId="0" borderId="0" xfId="0" applyFont="1" applyAlignment="1">
      <alignment horizontal="centerContinuous" vertical="top"/>
    </xf>
    <xf numFmtId="0" fontId="90" fillId="13" borderId="69" xfId="19" applyFont="1" applyFill="1" applyBorder="1"/>
    <xf numFmtId="0" fontId="68" fillId="0" borderId="0" xfId="19" applyFont="1" applyFill="1"/>
    <xf numFmtId="0" fontId="90" fillId="0" borderId="69" xfId="19" applyFont="1" applyFill="1" applyBorder="1"/>
    <xf numFmtId="0" fontId="90" fillId="0" borderId="69" xfId="19" applyFont="1" applyFill="1" applyBorder="1" applyProtection="1"/>
    <xf numFmtId="0" fontId="0" fillId="0" borderId="0" xfId="19" applyFont="1" applyFill="1" applyAlignment="1" applyProtection="1">
      <alignment horizontal="center" vertical="center"/>
    </xf>
    <xf numFmtId="0" fontId="64" fillId="0" borderId="0" xfId="18" applyFont="1" applyAlignment="1">
      <alignment horizontal="center"/>
    </xf>
    <xf numFmtId="0" fontId="93" fillId="0" borderId="0" xfId="18" applyFont="1"/>
    <xf numFmtId="0" fontId="93" fillId="0" borderId="0" xfId="18" applyFont="1" applyAlignment="1">
      <alignment horizontal="center"/>
    </xf>
    <xf numFmtId="166" fontId="90" fillId="0" borderId="0" xfId="18" applyNumberFormat="1" applyFont="1" applyAlignment="1">
      <alignment horizontal="center" vertical="center"/>
    </xf>
    <xf numFmtId="0" fontId="89" fillId="0" borderId="0" xfId="18" applyFont="1" applyAlignment="1">
      <alignment horizontal="center" vertical="center"/>
    </xf>
    <xf numFmtId="0" fontId="90" fillId="22" borderId="0" xfId="19" applyFont="1" applyFill="1" applyProtection="1"/>
    <xf numFmtId="0" fontId="90" fillId="23" borderId="69" xfId="19" applyFont="1" applyFill="1" applyBorder="1"/>
    <xf numFmtId="0" fontId="90" fillId="8" borderId="69" xfId="19" applyFont="1" applyFill="1" applyBorder="1" applyProtection="1"/>
    <xf numFmtId="0" fontId="90" fillId="24" borderId="69" xfId="19" applyFont="1" applyFill="1" applyBorder="1"/>
    <xf numFmtId="0" fontId="68" fillId="0" borderId="69" xfId="19" applyFont="1" applyFill="1" applyBorder="1"/>
    <xf numFmtId="0" fontId="90" fillId="0" borderId="73" xfId="19" applyFont="1" applyFill="1" applyBorder="1" applyProtection="1"/>
    <xf numFmtId="0" fontId="90" fillId="0" borderId="69" xfId="19" applyFont="1" applyBorder="1"/>
    <xf numFmtId="0" fontId="90" fillId="0" borderId="69" xfId="19" applyFont="1" applyBorder="1" applyAlignment="1">
      <alignment horizontal="center"/>
    </xf>
    <xf numFmtId="0" fontId="69" fillId="25" borderId="1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left" vertical="center"/>
    </xf>
    <xf numFmtId="0" fontId="90" fillId="26" borderId="69" xfId="19" applyFont="1" applyFill="1" applyBorder="1"/>
    <xf numFmtId="0" fontId="90" fillId="6" borderId="69" xfId="19" applyFont="1" applyFill="1" applyBorder="1"/>
    <xf numFmtId="0" fontId="90" fillId="27" borderId="69" xfId="19" applyFont="1" applyFill="1" applyBorder="1"/>
    <xf numFmtId="0" fontId="90" fillId="28" borderId="69" xfId="19" applyFont="1" applyFill="1" applyBorder="1"/>
    <xf numFmtId="0" fontId="90" fillId="11" borderId="69" xfId="19" applyFont="1" applyFill="1" applyBorder="1"/>
    <xf numFmtId="0" fontId="90" fillId="11" borderId="69" xfId="19" applyFont="1" applyFill="1" applyBorder="1" applyAlignment="1">
      <alignment horizontal="center"/>
    </xf>
    <xf numFmtId="0" fontId="90" fillId="29" borderId="69" xfId="19" applyFont="1" applyFill="1" applyBorder="1"/>
    <xf numFmtId="0" fontId="90" fillId="4" borderId="69" xfId="19" applyFont="1" applyFill="1" applyBorder="1" applyProtection="1"/>
    <xf numFmtId="0" fontId="90" fillId="15" borderId="69" xfId="19" applyFont="1" applyFill="1" applyBorder="1" applyProtection="1"/>
    <xf numFmtId="0" fontId="90" fillId="30" borderId="0" xfId="19" applyFont="1" applyFill="1" applyProtection="1"/>
    <xf numFmtId="0" fontId="90" fillId="29" borderId="0" xfId="19" applyFont="1" applyFill="1" applyProtection="1"/>
    <xf numFmtId="0" fontId="78" fillId="31" borderId="73" xfId="19" applyFont="1" applyFill="1" applyBorder="1" applyProtection="1"/>
    <xf numFmtId="0" fontId="90" fillId="15" borderId="69" xfId="19" applyFont="1" applyFill="1" applyBorder="1"/>
    <xf numFmtId="0" fontId="90" fillId="30" borderId="69" xfId="19" applyFont="1" applyFill="1" applyBorder="1"/>
    <xf numFmtId="0" fontId="78" fillId="31" borderId="69" xfId="19" applyFont="1" applyFill="1" applyBorder="1"/>
    <xf numFmtId="0" fontId="26" fillId="0" borderId="0" xfId="0" applyFont="1" applyAlignment="1">
      <alignment vertical="center"/>
    </xf>
    <xf numFmtId="0" fontId="77" fillId="2" borderId="0" xfId="0" applyFont="1" applyFill="1" applyAlignment="1">
      <alignment horizontal="centerContinuous" vertical="top" wrapText="1"/>
    </xf>
    <xf numFmtId="0" fontId="0" fillId="0" borderId="0" xfId="0" applyAlignment="1">
      <alignment horizontal="centerContinuous" wrapText="1"/>
    </xf>
    <xf numFmtId="0" fontId="68" fillId="0" borderId="3" xfId="0" applyFont="1" applyBorder="1" applyAlignment="1">
      <alignment horizontal="center" vertical="center"/>
    </xf>
    <xf numFmtId="0" fontId="69" fillId="0" borderId="3" xfId="0" applyFont="1" applyBorder="1" applyAlignment="1">
      <alignment horizontal="left" vertical="center"/>
    </xf>
    <xf numFmtId="1" fontId="69" fillId="18" borderId="3" xfId="0" applyNumberFormat="1" applyFont="1" applyFill="1" applyBorder="1" applyAlignment="1">
      <alignment horizontal="center" vertical="center" wrapText="1"/>
    </xf>
    <xf numFmtId="0" fontId="69" fillId="0" borderId="3" xfId="0" applyFont="1" applyBorder="1" applyAlignment="1">
      <alignment horizontal="center" vertical="center"/>
    </xf>
    <xf numFmtId="1" fontId="69" fillId="12" borderId="3" xfId="0" applyNumberFormat="1" applyFont="1" applyFill="1" applyBorder="1" applyAlignment="1">
      <alignment horizontal="center" vertical="center"/>
    </xf>
    <xf numFmtId="1" fontId="70" fillId="0" borderId="3" xfId="0" applyNumberFormat="1" applyFont="1" applyBorder="1" applyAlignment="1">
      <alignment horizontal="center" vertical="center"/>
    </xf>
    <xf numFmtId="0" fontId="69" fillId="0" borderId="3" xfId="0" applyFont="1" applyBorder="1" applyAlignment="1">
      <alignment vertical="center"/>
    </xf>
    <xf numFmtId="0" fontId="69" fillId="25" borderId="3" xfId="0" applyFont="1" applyFill="1" applyBorder="1" applyAlignment="1">
      <alignment horizontal="center" vertical="center"/>
    </xf>
    <xf numFmtId="0" fontId="23" fillId="0" borderId="3" xfId="0" applyFont="1" applyBorder="1" applyAlignment="1">
      <alignment horizontal="right" vertical="top"/>
    </xf>
    <xf numFmtId="1" fontId="69" fillId="0" borderId="3" xfId="0" applyNumberFormat="1" applyFont="1" applyBorder="1" applyAlignment="1">
      <alignment horizontal="center" vertical="center" wrapText="1"/>
    </xf>
    <xf numFmtId="0" fontId="69" fillId="0" borderId="3" xfId="0" applyFont="1" applyBorder="1" applyAlignment="1">
      <alignment horizontal="left" vertical="top"/>
    </xf>
    <xf numFmtId="164" fontId="70" fillId="0" borderId="3" xfId="0" applyNumberFormat="1" applyFont="1" applyBorder="1" applyAlignment="1">
      <alignment horizontal="center" vertical="center"/>
    </xf>
    <xf numFmtId="0" fontId="25" fillId="0" borderId="3" xfId="0" applyFont="1" applyBorder="1" applyAlignment="1">
      <alignment horizontal="left" vertical="top"/>
    </xf>
    <xf numFmtId="0" fontId="69" fillId="0" borderId="68" xfId="0" applyFont="1" applyBorder="1" applyAlignment="1">
      <alignment horizontal="left" vertical="center"/>
    </xf>
    <xf numFmtId="0" fontId="24" fillId="2" borderId="3" xfId="0" applyFont="1" applyFill="1" applyBorder="1" applyAlignment="1">
      <alignment horizontal="left" vertical="top"/>
    </xf>
    <xf numFmtId="0" fontId="68" fillId="0" borderId="2" xfId="0" applyFont="1" applyBorder="1" applyAlignment="1">
      <alignment horizontal="center" vertical="center"/>
    </xf>
    <xf numFmtId="0" fontId="69" fillId="0" borderId="2" xfId="0" applyFont="1" applyBorder="1" applyAlignment="1">
      <alignment horizontal="left" vertical="center"/>
    </xf>
    <xf numFmtId="1" fontId="69" fillId="18" borderId="2" xfId="0" applyNumberFormat="1" applyFont="1" applyFill="1" applyBorder="1" applyAlignment="1">
      <alignment horizontal="center" vertical="center" wrapText="1"/>
    </xf>
    <xf numFmtId="0" fontId="69" fillId="0" borderId="2" xfId="0" applyFont="1" applyBorder="1" applyAlignment="1">
      <alignment horizontal="center" vertical="center"/>
    </xf>
    <xf numFmtId="1" fontId="69" fillId="12" borderId="2" xfId="0" applyNumberFormat="1" applyFont="1" applyFill="1" applyBorder="1" applyAlignment="1">
      <alignment horizontal="center" vertical="center"/>
    </xf>
    <xf numFmtId="1" fontId="70" fillId="0" borderId="2" xfId="0" applyNumberFormat="1" applyFont="1" applyBorder="1" applyAlignment="1">
      <alignment horizontal="center" vertical="center"/>
    </xf>
    <xf numFmtId="0" fontId="65" fillId="13" borderId="3" xfId="0" applyFont="1" applyFill="1" applyBorder="1" applyAlignment="1">
      <alignment horizontal="center" vertical="center"/>
    </xf>
    <xf numFmtId="1" fontId="65" fillId="13" borderId="3" xfId="0" applyNumberFormat="1" applyFont="1" applyFill="1" applyBorder="1" applyAlignment="1">
      <alignment horizontal="center" vertical="center" wrapText="1"/>
    </xf>
    <xf numFmtId="0" fontId="80" fillId="13" borderId="74" xfId="0" applyFont="1" applyFill="1" applyBorder="1" applyAlignment="1">
      <alignment horizontal="centerContinuous" vertical="center" wrapText="1"/>
    </xf>
    <xf numFmtId="0" fontId="79" fillId="13" borderId="62" xfId="0" applyFont="1" applyFill="1" applyBorder="1" applyAlignment="1">
      <alignment horizontal="center" vertical="center" wrapText="1"/>
    </xf>
    <xf numFmtId="0" fontId="80" fillId="13" borderId="2" xfId="0" applyFont="1" applyFill="1" applyBorder="1" applyAlignment="1">
      <alignment horizontal="centerContinuous" vertical="center" wrapText="1"/>
    </xf>
    <xf numFmtId="0" fontId="72" fillId="13" borderId="74" xfId="0" applyFont="1" applyFill="1" applyBorder="1" applyAlignment="1">
      <alignment vertical="center" wrapText="1"/>
    </xf>
    <xf numFmtId="0" fontId="72" fillId="13" borderId="62" xfId="0" applyFont="1" applyFill="1" applyBorder="1" applyAlignment="1">
      <alignment horizontal="center" vertical="center"/>
    </xf>
    <xf numFmtId="0" fontId="78" fillId="13" borderId="2" xfId="0" applyFont="1" applyFill="1" applyBorder="1"/>
    <xf numFmtId="49" fontId="79" fillId="13" borderId="74" xfId="0" applyNumberFormat="1" applyFont="1" applyFill="1" applyBorder="1" applyAlignment="1">
      <alignment vertical="center" wrapText="1"/>
    </xf>
    <xf numFmtId="49" fontId="79" fillId="13" borderId="62" xfId="0" applyNumberFormat="1" applyFont="1" applyFill="1" applyBorder="1" applyAlignment="1">
      <alignment horizontal="center" vertical="center" wrapText="1"/>
    </xf>
    <xf numFmtId="49" fontId="81" fillId="13" borderId="2" xfId="0" applyNumberFormat="1" applyFont="1" applyFill="1" applyBorder="1" applyAlignment="1">
      <alignment wrapText="1"/>
    </xf>
    <xf numFmtId="0" fontId="65" fillId="13" borderId="75" xfId="0" applyFont="1" applyFill="1" applyBorder="1" applyAlignment="1">
      <alignment horizontal="centerContinuous" wrapText="1"/>
    </xf>
    <xf numFmtId="0" fontId="61" fillId="13" borderId="76" xfId="0" applyFont="1" applyFill="1" applyBorder="1" applyAlignment="1">
      <alignment horizontal="centerContinuous"/>
    </xf>
    <xf numFmtId="0" fontId="61" fillId="13" borderId="77" xfId="0" applyFont="1" applyFill="1" applyBorder="1" applyAlignment="1">
      <alignment horizontal="centerContinuous"/>
    </xf>
    <xf numFmtId="49" fontId="66" fillId="13" borderId="58" xfId="0" applyNumberFormat="1" applyFont="1" applyFill="1" applyBorder="1" applyAlignment="1">
      <alignment horizontal="centerContinuous" vertical="top" wrapText="1"/>
    </xf>
    <xf numFmtId="49" fontId="61" fillId="13" borderId="21" xfId="0" applyNumberFormat="1" applyFont="1" applyFill="1" applyBorder="1" applyAlignment="1">
      <alignment horizontal="centerContinuous" vertical="top"/>
    </xf>
    <xf numFmtId="49" fontId="61" fillId="13" borderId="40" xfId="0" applyNumberFormat="1" applyFont="1" applyFill="1" applyBorder="1" applyAlignment="1">
      <alignment horizontal="centerContinuous" vertical="top"/>
    </xf>
    <xf numFmtId="0" fontId="61" fillId="13" borderId="76" xfId="0" applyFont="1" applyFill="1" applyBorder="1" applyAlignment="1">
      <alignment horizontal="centerContinuous" wrapText="1"/>
    </xf>
    <xf numFmtId="0" fontId="61" fillId="13" borderId="77" xfId="0" applyFont="1" applyFill="1" applyBorder="1" applyAlignment="1">
      <alignment horizontal="centerContinuous" wrapText="1"/>
    </xf>
    <xf numFmtId="49" fontId="61" fillId="13" borderId="21" xfId="0" applyNumberFormat="1" applyFont="1" applyFill="1" applyBorder="1" applyAlignment="1">
      <alignment horizontal="centerContinuous" vertical="top" wrapText="1"/>
    </xf>
    <xf numFmtId="49" fontId="61" fillId="13" borderId="40" xfId="0" applyNumberFormat="1" applyFont="1" applyFill="1" applyBorder="1" applyAlignment="1">
      <alignment horizontal="centerContinuous" vertical="top" wrapText="1"/>
    </xf>
    <xf numFmtId="0" fontId="23" fillId="0" borderId="2" xfId="0" applyFont="1" applyBorder="1" applyAlignment="1">
      <alignment horizontal="right" vertical="top"/>
    </xf>
    <xf numFmtId="0" fontId="7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1" fontId="69" fillId="0" borderId="2" xfId="0" applyNumberFormat="1" applyFont="1" applyBorder="1" applyAlignment="1">
      <alignment horizontal="center" vertical="center" wrapText="1"/>
    </xf>
    <xf numFmtId="0" fontId="69" fillId="25" borderId="2" xfId="0" applyFont="1" applyFill="1" applyBorder="1" applyAlignment="1">
      <alignment horizontal="center" vertical="center"/>
    </xf>
    <xf numFmtId="0" fontId="69" fillId="0" borderId="2" xfId="0" applyFont="1" applyBorder="1" applyAlignment="1">
      <alignment horizontal="left" vertical="top"/>
    </xf>
    <xf numFmtId="0" fontId="69" fillId="0" borderId="2" xfId="0" applyFont="1" applyBorder="1" applyAlignment="1">
      <alignment vertical="center"/>
    </xf>
    <xf numFmtId="0" fontId="25" fillId="0" borderId="2" xfId="0" applyFont="1" applyBorder="1" applyAlignment="1">
      <alignment horizontal="left" vertical="top"/>
    </xf>
    <xf numFmtId="0" fontId="65" fillId="13" borderId="41" xfId="0" applyFont="1" applyFill="1" applyBorder="1" applyAlignment="1">
      <alignment horizontal="centerContinuous" wrapText="1"/>
    </xf>
    <xf numFmtId="0" fontId="61" fillId="13" borderId="78" xfId="0" applyFont="1" applyFill="1" applyBorder="1" applyAlignment="1">
      <alignment horizontal="centerContinuous"/>
    </xf>
    <xf numFmtId="0" fontId="61" fillId="13" borderId="78" xfId="0" applyFont="1" applyFill="1" applyBorder="1" applyAlignment="1">
      <alignment horizontal="centerContinuous" wrapText="1"/>
    </xf>
    <xf numFmtId="0" fontId="69" fillId="0" borderId="59" xfId="0" applyFont="1" applyBorder="1" applyAlignment="1">
      <alignment horizontal="center" vertical="center"/>
    </xf>
    <xf numFmtId="0" fontId="69" fillId="0" borderId="58" xfId="0" applyFont="1" applyBorder="1" applyAlignment="1">
      <alignment horizontal="left" vertical="center"/>
    </xf>
    <xf numFmtId="0" fontId="69" fillId="0" borderId="61" xfId="0" applyFont="1" applyBorder="1" applyAlignment="1">
      <alignment vertical="center"/>
    </xf>
    <xf numFmtId="0" fontId="69" fillId="0" borderId="61" xfId="0" applyFont="1" applyBorder="1" applyAlignment="1">
      <alignment horizontal="left" vertical="center"/>
    </xf>
    <xf numFmtId="1" fontId="69" fillId="18" borderId="78" xfId="0" applyNumberFormat="1" applyFont="1" applyFill="1" applyBorder="1" applyAlignment="1">
      <alignment horizontal="center" vertical="center" wrapText="1"/>
    </xf>
    <xf numFmtId="0" fontId="70" fillId="0" borderId="79" xfId="0" applyFont="1" applyBorder="1" applyAlignment="1">
      <alignment horizontal="center" vertical="center"/>
    </xf>
    <xf numFmtId="1" fontId="69" fillId="18" borderId="59" xfId="0" applyNumberFormat="1" applyFont="1" applyFill="1" applyBorder="1" applyAlignment="1">
      <alignment horizontal="center" vertical="center" wrapText="1"/>
    </xf>
    <xf numFmtId="49" fontId="81" fillId="13" borderId="62" xfId="0" applyNumberFormat="1" applyFont="1" applyFill="1" applyBorder="1" applyAlignment="1">
      <alignment wrapText="1"/>
    </xf>
    <xf numFmtId="1" fontId="69" fillId="18" borderId="74" xfId="0" applyNumberFormat="1" applyFont="1" applyFill="1" applyBorder="1" applyAlignment="1">
      <alignment horizontal="center" vertical="center" wrapText="1"/>
    </xf>
    <xf numFmtId="0" fontId="70" fillId="7" borderId="20" xfId="0" applyFont="1" applyFill="1" applyBorder="1" applyAlignment="1">
      <alignment horizontal="center" vertical="center"/>
    </xf>
    <xf numFmtId="0" fontId="61" fillId="19" borderId="80" xfId="0" applyFont="1" applyFill="1" applyBorder="1" applyAlignment="1">
      <alignment horizontal="center"/>
    </xf>
    <xf numFmtId="0" fontId="61" fillId="0" borderId="81" xfId="0" applyFont="1" applyBorder="1" applyAlignment="1">
      <alignment horizontal="center"/>
    </xf>
    <xf numFmtId="0" fontId="61" fillId="0" borderId="82" xfId="0" applyFont="1" applyBorder="1" applyAlignment="1">
      <alignment horizontal="center"/>
    </xf>
    <xf numFmtId="0" fontId="61" fillId="0" borderId="84" xfId="0" applyFont="1" applyBorder="1" applyAlignment="1">
      <alignment wrapText="1"/>
    </xf>
    <xf numFmtId="0" fontId="61" fillId="4" borderId="85" xfId="0" applyFont="1" applyFill="1" applyBorder="1" applyAlignment="1">
      <alignment horizontal="left" vertical="center"/>
    </xf>
    <xf numFmtId="0" fontId="61" fillId="0" borderId="61" xfId="0" applyFont="1" applyBorder="1" applyAlignment="1">
      <alignment wrapText="1"/>
    </xf>
    <xf numFmtId="0" fontId="61" fillId="3" borderId="87" xfId="0" applyFont="1" applyFill="1" applyBorder="1" applyAlignment="1">
      <alignment vertical="center"/>
    </xf>
    <xf numFmtId="0" fontId="61" fillId="0" borderId="89" xfId="0" applyFont="1" applyBorder="1" applyAlignment="1">
      <alignment wrapText="1"/>
    </xf>
    <xf numFmtId="0" fontId="61" fillId="32" borderId="90" xfId="0" applyFont="1" applyFill="1" applyBorder="1" applyAlignment="1">
      <alignment horizontal="left" vertical="center"/>
    </xf>
    <xf numFmtId="0" fontId="61" fillId="0" borderId="80" xfId="0" applyFont="1" applyBorder="1" applyAlignment="1">
      <alignment vertical="center"/>
    </xf>
    <xf numFmtId="0" fontId="61" fillId="0" borderId="91" xfId="0" applyFont="1" applyBorder="1" applyAlignment="1">
      <alignment wrapText="1"/>
    </xf>
    <xf numFmtId="0" fontId="61" fillId="4" borderId="82" xfId="0" applyFont="1" applyFill="1" applyBorder="1" applyAlignment="1">
      <alignment wrapText="1"/>
    </xf>
    <xf numFmtId="0" fontId="61" fillId="0" borderId="91" xfId="0" applyFont="1" applyBorder="1" applyAlignment="1">
      <alignment horizontal="left" wrapText="1"/>
    </xf>
    <xf numFmtId="0" fontId="61" fillId="4" borderId="82" xfId="0" applyFont="1" applyFill="1" applyBorder="1" applyAlignment="1">
      <alignment vertical="center"/>
    </xf>
    <xf numFmtId="0" fontId="61" fillId="4" borderId="82" xfId="0" applyFont="1" applyFill="1" applyBorder="1" applyAlignment="1">
      <alignment horizontal="left" vertical="center"/>
    </xf>
    <xf numFmtId="0" fontId="61" fillId="0" borderId="3" xfId="0" applyFont="1" applyBorder="1" applyAlignment="1">
      <alignment wrapText="1"/>
    </xf>
    <xf numFmtId="0" fontId="61" fillId="3" borderId="87" xfId="0" applyFont="1" applyFill="1" applyBorder="1" applyAlignment="1">
      <alignment horizontal="left" vertical="center"/>
    </xf>
    <xf numFmtId="0" fontId="61" fillId="0" borderId="92" xfId="0" applyFont="1" applyBorder="1" applyAlignment="1">
      <alignment wrapText="1"/>
    </xf>
    <xf numFmtId="0" fontId="61" fillId="0" borderId="81" xfId="0" applyFont="1" applyBorder="1" applyAlignment="1">
      <alignment wrapText="1"/>
    </xf>
    <xf numFmtId="0" fontId="61" fillId="0" borderId="84" xfId="0" applyFont="1" applyBorder="1"/>
    <xf numFmtId="0" fontId="61" fillId="0" borderId="94" xfId="0" applyFont="1" applyBorder="1" applyAlignment="1">
      <alignment vertical="center"/>
    </xf>
    <xf numFmtId="0" fontId="61" fillId="0" borderId="3" xfId="0" applyFont="1" applyBorder="1"/>
    <xf numFmtId="0" fontId="61" fillId="4" borderId="87" xfId="0" applyFont="1" applyFill="1" applyBorder="1" applyAlignment="1">
      <alignment vertical="center"/>
    </xf>
    <xf numFmtId="0" fontId="61" fillId="4" borderId="87" xfId="0" applyFont="1" applyFill="1" applyBorder="1" applyAlignment="1">
      <alignment horizontal="left" vertical="center"/>
    </xf>
    <xf numFmtId="0" fontId="61" fillId="0" borderId="92" xfId="0" applyFont="1" applyBorder="1"/>
    <xf numFmtId="0" fontId="61" fillId="0" borderId="0" xfId="0" applyFont="1" applyAlignment="1">
      <alignment horizontal="center" wrapText="1"/>
    </xf>
    <xf numFmtId="49" fontId="79" fillId="0" borderId="0" xfId="0" applyNumberFormat="1" applyFont="1" applyAlignment="1">
      <alignment vertical="center" wrapText="1"/>
    </xf>
    <xf numFmtId="49" fontId="79" fillId="0" borderId="0" xfId="0" applyNumberFormat="1" applyFont="1" applyAlignment="1">
      <alignment horizontal="center" vertical="center" wrapText="1"/>
    </xf>
    <xf numFmtId="49" fontId="61" fillId="0" borderId="0" xfId="0" applyNumberFormat="1" applyFont="1" applyAlignment="1">
      <alignment horizontal="center" vertical="top" wrapText="1"/>
    </xf>
    <xf numFmtId="49" fontId="81" fillId="0" borderId="0" xfId="0" applyNumberFormat="1" applyFont="1" applyAlignment="1">
      <alignment wrapText="1"/>
    </xf>
    <xf numFmtId="0" fontId="69" fillId="2" borderId="0" xfId="0" applyFont="1" applyFill="1" applyAlignment="1">
      <alignment horizontal="left" vertical="top"/>
    </xf>
    <xf numFmtId="0" fontId="70" fillId="0" borderId="3" xfId="0" applyFont="1" applyBorder="1" applyAlignment="1">
      <alignment horizontal="center" vertical="center"/>
    </xf>
    <xf numFmtId="0" fontId="69" fillId="2" borderId="0" xfId="0" applyFont="1" applyFill="1" applyAlignment="1">
      <alignment vertical="top"/>
    </xf>
    <xf numFmtId="0" fontId="71" fillId="2" borderId="3" xfId="0" applyFont="1" applyFill="1" applyBorder="1" applyAlignment="1">
      <alignment horizontal="center" vertical="center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vertical="top"/>
    </xf>
    <xf numFmtId="0" fontId="61" fillId="0" borderId="74" xfId="0" applyFont="1" applyBorder="1" applyAlignment="1">
      <alignment wrapText="1"/>
    </xf>
    <xf numFmtId="0" fontId="61" fillId="32" borderId="95" xfId="0" applyFont="1" applyFill="1" applyBorder="1" applyAlignment="1">
      <alignment horizontal="left" vertical="center"/>
    </xf>
    <xf numFmtId="1" fontId="69" fillId="18" borderId="61" xfId="0" applyNumberFormat="1" applyFont="1" applyFill="1" applyBorder="1" applyAlignment="1">
      <alignment horizontal="center" vertical="center" wrapText="1"/>
    </xf>
    <xf numFmtId="0" fontId="61" fillId="0" borderId="2" xfId="0" applyFont="1" applyBorder="1" applyAlignment="1">
      <alignment wrapText="1"/>
    </xf>
    <xf numFmtId="0" fontId="61" fillId="4" borderId="96" xfId="0" applyFont="1" applyFill="1" applyBorder="1" applyAlignment="1">
      <alignment horizontal="left" vertical="center"/>
    </xf>
    <xf numFmtId="0" fontId="61" fillId="4" borderId="85" xfId="0" applyFont="1" applyFill="1" applyBorder="1" applyAlignment="1">
      <alignment horizontal="left" vertical="top"/>
    </xf>
    <xf numFmtId="0" fontId="65" fillId="13" borderId="74" xfId="0" applyFont="1" applyFill="1" applyBorder="1" applyAlignment="1">
      <alignment horizontal="center" wrapText="1"/>
    </xf>
    <xf numFmtId="0" fontId="79" fillId="13" borderId="62" xfId="0" applyFont="1" applyFill="1" applyBorder="1" applyAlignment="1">
      <alignment horizontal="centerContinuous" wrapText="1"/>
    </xf>
    <xf numFmtId="49" fontId="66" fillId="13" borderId="2" xfId="0" applyNumberFormat="1" applyFont="1" applyFill="1" applyBorder="1" applyAlignment="1">
      <alignment horizontal="center" vertical="top" wrapText="1"/>
    </xf>
    <xf numFmtId="0" fontId="61" fillId="0" borderId="81" xfId="0" applyFont="1" applyBorder="1"/>
    <xf numFmtId="0" fontId="65" fillId="13" borderId="19" xfId="0" applyFont="1" applyFill="1" applyBorder="1" applyAlignment="1">
      <alignment horizontal="centerContinuous" wrapText="1"/>
    </xf>
    <xf numFmtId="49" fontId="66" fillId="13" borderId="71" xfId="0" applyNumberFormat="1" applyFont="1" applyFill="1" applyBorder="1" applyAlignment="1">
      <alignment horizontal="centerContinuous" vertical="top" wrapText="1"/>
    </xf>
    <xf numFmtId="49" fontId="61" fillId="13" borderId="17" xfId="0" applyNumberFormat="1" applyFont="1" applyFill="1" applyBorder="1" applyAlignment="1">
      <alignment horizontal="centerContinuous" vertical="top" wrapText="1"/>
    </xf>
    <xf numFmtId="0" fontId="72" fillId="13" borderId="13" xfId="0" applyFont="1" applyFill="1" applyBorder="1" applyAlignment="1">
      <alignment vertical="center" wrapText="1"/>
    </xf>
    <xf numFmtId="0" fontId="78" fillId="13" borderId="68" xfId="0" applyFont="1" applyFill="1" applyBorder="1"/>
    <xf numFmtId="0" fontId="69" fillId="25" borderId="17" xfId="0" applyFont="1" applyFill="1" applyBorder="1" applyAlignment="1">
      <alignment horizontal="center" vertical="center"/>
    </xf>
    <xf numFmtId="0" fontId="69" fillId="0" borderId="67" xfId="0" applyFont="1" applyBorder="1" applyAlignment="1">
      <alignment horizontal="left" vertical="center"/>
    </xf>
    <xf numFmtId="1" fontId="70" fillId="0" borderId="17" xfId="0" applyNumberFormat="1" applyFont="1" applyBorder="1" applyAlignment="1">
      <alignment horizontal="center" vertical="center"/>
    </xf>
    <xf numFmtId="0" fontId="65" fillId="13" borderId="0" xfId="0" applyFont="1" applyFill="1" applyAlignment="1">
      <alignment horizontal="centerContinuous" wrapText="1"/>
    </xf>
    <xf numFmtId="0" fontId="65" fillId="13" borderId="16" xfId="0" applyFont="1" applyFill="1" applyBorder="1" applyAlignment="1">
      <alignment horizontal="centerContinuous" wrapText="1"/>
    </xf>
    <xf numFmtId="49" fontId="66" fillId="13" borderId="15" xfId="0" applyNumberFormat="1" applyFont="1" applyFill="1" applyBorder="1" applyAlignment="1">
      <alignment horizontal="centerContinuous" vertical="top" wrapText="1"/>
    </xf>
    <xf numFmtId="0" fontId="61" fillId="13" borderId="13" xfId="0" applyFont="1" applyFill="1" applyBorder="1" applyAlignment="1">
      <alignment horizontal="centerContinuous"/>
    </xf>
    <xf numFmtId="49" fontId="61" fillId="13" borderId="68" xfId="0" applyNumberFormat="1" applyFont="1" applyFill="1" applyBorder="1" applyAlignment="1">
      <alignment horizontal="centerContinuous" vertical="top"/>
    </xf>
    <xf numFmtId="0" fontId="61" fillId="13" borderId="13" xfId="0" applyFont="1" applyFill="1" applyBorder="1" applyAlignment="1">
      <alignment horizontal="centerContinuous" wrapText="1"/>
    </xf>
    <xf numFmtId="49" fontId="61" fillId="13" borderId="68" xfId="0" applyNumberFormat="1" applyFont="1" applyFill="1" applyBorder="1" applyAlignment="1">
      <alignment horizontal="centerContinuous" vertical="top" wrapText="1"/>
    </xf>
    <xf numFmtId="49" fontId="79" fillId="13" borderId="16" xfId="0" applyNumberFormat="1" applyFont="1" applyFill="1" applyBorder="1" applyAlignment="1">
      <alignment vertical="center" wrapText="1"/>
    </xf>
    <xf numFmtId="49" fontId="81" fillId="13" borderId="15" xfId="0" applyNumberFormat="1" applyFont="1" applyFill="1" applyBorder="1" applyAlignment="1">
      <alignment wrapText="1"/>
    </xf>
    <xf numFmtId="0" fontId="80" fillId="13" borderId="12" xfId="0" applyFont="1" applyFill="1" applyBorder="1" applyAlignment="1">
      <alignment horizontal="centerContinuous" vertical="center" wrapText="1"/>
    </xf>
    <xf numFmtId="49" fontId="79" fillId="13" borderId="19" xfId="0" applyNumberFormat="1" applyFont="1" applyFill="1" applyBorder="1" applyAlignment="1">
      <alignment vertical="center" wrapText="1"/>
    </xf>
    <xf numFmtId="49" fontId="79" fillId="13" borderId="71" xfId="0" applyNumberFormat="1" applyFont="1" applyFill="1" applyBorder="1" applyAlignment="1">
      <alignment horizontal="center" vertical="center" wrapText="1"/>
    </xf>
    <xf numFmtId="0" fontId="61" fillId="13" borderId="68" xfId="0" applyFont="1" applyFill="1" applyBorder="1" applyAlignment="1">
      <alignment horizontal="centerContinuous" wrapText="1"/>
    </xf>
    <xf numFmtId="49" fontId="79" fillId="13" borderId="15" xfId="0" applyNumberFormat="1" applyFont="1" applyFill="1" applyBorder="1" applyAlignment="1">
      <alignment vertical="center" wrapText="1"/>
    </xf>
    <xf numFmtId="0" fontId="65" fillId="13" borderId="67" xfId="0" applyFont="1" applyFill="1" applyBorder="1" applyAlignment="1">
      <alignment horizontal="centerContinuous" wrapText="1"/>
    </xf>
    <xf numFmtId="0" fontId="61" fillId="4" borderId="100" xfId="0" applyFont="1" applyFill="1" applyBorder="1" applyAlignment="1">
      <alignment horizontal="left" vertical="center"/>
    </xf>
    <xf numFmtId="0" fontId="61" fillId="3" borderId="101" xfId="0" applyFont="1" applyFill="1" applyBorder="1" applyAlignment="1">
      <alignment horizontal="left" vertical="center"/>
    </xf>
    <xf numFmtId="0" fontId="61" fillId="32" borderId="102" xfId="0" applyFont="1" applyFill="1" applyBorder="1" applyAlignment="1">
      <alignment horizontal="left" vertical="center"/>
    </xf>
    <xf numFmtId="0" fontId="61" fillId="0" borderId="74" xfId="0" applyFont="1" applyBorder="1"/>
    <xf numFmtId="0" fontId="61" fillId="0" borderId="2" xfId="0" applyFont="1" applyBorder="1"/>
    <xf numFmtId="0" fontId="61" fillId="4" borderId="103" xfId="0" applyFont="1" applyFill="1" applyBorder="1" applyAlignment="1">
      <alignment horizontal="left" vertical="center"/>
    </xf>
    <xf numFmtId="0" fontId="61" fillId="32" borderId="104" xfId="0" applyFont="1" applyFill="1" applyBorder="1" applyAlignment="1">
      <alignment horizontal="left" vertical="center"/>
    </xf>
    <xf numFmtId="0" fontId="61" fillId="0" borderId="105" xfId="0" applyFont="1" applyBorder="1" applyAlignment="1">
      <alignment vertical="center"/>
    </xf>
    <xf numFmtId="0" fontId="61" fillId="0" borderId="106" xfId="0" applyFont="1" applyBorder="1" applyAlignment="1">
      <alignment vertical="center"/>
    </xf>
    <xf numFmtId="0" fontId="61" fillId="4" borderId="95" xfId="0" applyFont="1" applyFill="1" applyBorder="1" applyAlignment="1">
      <alignment horizontal="left" vertical="center"/>
    </xf>
    <xf numFmtId="0" fontId="61" fillId="0" borderId="88" xfId="0" applyFont="1" applyBorder="1" applyAlignment="1">
      <alignment vertical="center"/>
    </xf>
    <xf numFmtId="0" fontId="61" fillId="4" borderId="108" xfId="0" applyFont="1" applyFill="1" applyBorder="1" applyAlignment="1">
      <alignment horizontal="left" vertical="center"/>
    </xf>
    <xf numFmtId="0" fontId="61" fillId="0" borderId="107" xfId="0" applyFont="1" applyBorder="1" applyAlignment="1">
      <alignment wrapText="1"/>
    </xf>
    <xf numFmtId="0" fontId="61" fillId="4" borderId="85" xfId="0" applyFont="1" applyFill="1" applyBorder="1" applyAlignment="1">
      <alignment vertical="center"/>
    </xf>
    <xf numFmtId="0" fontId="61" fillId="32" borderId="90" xfId="0" applyFont="1" applyFill="1" applyBorder="1" applyAlignment="1">
      <alignment vertical="center"/>
    </xf>
    <xf numFmtId="0" fontId="69" fillId="14" borderId="1" xfId="0" applyFont="1" applyFill="1" applyBorder="1" applyAlignment="1">
      <alignment horizontal="center" vertical="center"/>
    </xf>
    <xf numFmtId="49" fontId="61" fillId="13" borderId="70" xfId="0" applyNumberFormat="1" applyFont="1" applyFill="1" applyBorder="1" applyAlignment="1">
      <alignment horizontal="centerContinuous" vertical="top"/>
    </xf>
    <xf numFmtId="49" fontId="66" fillId="13" borderId="0" xfId="0" applyNumberFormat="1" applyFont="1" applyFill="1" applyAlignment="1">
      <alignment horizontal="centerContinuous" vertical="top" wrapText="1"/>
    </xf>
    <xf numFmtId="49" fontId="61" fillId="13" borderId="70" xfId="0" applyNumberFormat="1" applyFont="1" applyFill="1" applyBorder="1" applyAlignment="1">
      <alignment horizontal="centerContinuous" vertical="top" wrapText="1"/>
    </xf>
    <xf numFmtId="49" fontId="81" fillId="13" borderId="0" xfId="0" applyNumberFormat="1" applyFont="1" applyFill="1" applyAlignment="1">
      <alignment wrapText="1"/>
    </xf>
    <xf numFmtId="0" fontId="61" fillId="13" borderId="70" xfId="0" applyFont="1" applyFill="1" applyBorder="1" applyAlignment="1">
      <alignment horizontal="centerContinuous" wrapText="1"/>
    </xf>
    <xf numFmtId="49" fontId="79" fillId="13" borderId="0" xfId="0" applyNumberFormat="1" applyFont="1" applyFill="1" applyAlignment="1">
      <alignment vertical="center" wrapText="1"/>
    </xf>
    <xf numFmtId="0" fontId="65" fillId="13" borderId="71" xfId="0" applyFont="1" applyFill="1" applyBorder="1" applyAlignment="1">
      <alignment horizontal="centerContinuous" wrapText="1"/>
    </xf>
    <xf numFmtId="49" fontId="81" fillId="13" borderId="71" xfId="0" applyNumberFormat="1" applyFont="1" applyFill="1" applyBorder="1" applyAlignment="1">
      <alignment wrapText="1"/>
    </xf>
    <xf numFmtId="0" fontId="71" fillId="0" borderId="1" xfId="0" applyFont="1" applyBorder="1" applyAlignment="1">
      <alignment horizontal="center" vertical="top"/>
    </xf>
    <xf numFmtId="0" fontId="84" fillId="0" borderId="0" xfId="0" applyFont="1" applyAlignment="1">
      <alignment horizontal="center" wrapText="1"/>
    </xf>
    <xf numFmtId="0" fontId="25" fillId="0" borderId="1" xfId="0" applyFont="1" applyBorder="1" applyAlignment="1">
      <alignment horizontal="left" vertical="top"/>
    </xf>
    <xf numFmtId="0" fontId="90" fillId="24" borderId="0" xfId="19" applyFont="1" applyFill="1" applyProtection="1"/>
    <xf numFmtId="0" fontId="90" fillId="34" borderId="0" xfId="19" applyFont="1" applyFill="1" applyProtection="1"/>
    <xf numFmtId="0" fontId="90" fillId="35" borderId="0" xfId="19" applyFont="1" applyFill="1" applyProtection="1"/>
    <xf numFmtId="0" fontId="90" fillId="36" borderId="0" xfId="19" applyFont="1" applyFill="1" applyProtection="1"/>
    <xf numFmtId="0" fontId="90" fillId="37" borderId="0" xfId="19" applyFont="1" applyFill="1" applyProtection="1"/>
    <xf numFmtId="0" fontId="68" fillId="0" borderId="0" xfId="19" applyFont="1" applyFill="1" applyProtection="1"/>
    <xf numFmtId="0" fontId="93" fillId="9" borderId="0" xfId="19" applyFont="1" applyFill="1"/>
    <xf numFmtId="0" fontId="93" fillId="8" borderId="0" xfId="19" applyFont="1" applyFill="1"/>
    <xf numFmtId="0" fontId="93" fillId="38" borderId="0" xfId="19" applyFont="1" applyFill="1"/>
    <xf numFmtId="0" fontId="93" fillId="36" borderId="0" xfId="19" applyFont="1" applyFill="1"/>
    <xf numFmtId="0" fontId="93" fillId="19" borderId="0" xfId="19" applyFont="1" applyFill="1"/>
    <xf numFmtId="0" fontId="69" fillId="0" borderId="72" xfId="0" applyFont="1" applyBorder="1" applyAlignment="1">
      <alignment horizontal="left" vertical="center"/>
    </xf>
    <xf numFmtId="0" fontId="69" fillId="0" borderId="18" xfId="0" applyFont="1" applyBorder="1" applyAlignment="1">
      <alignment horizontal="center" vertical="center"/>
    </xf>
    <xf numFmtId="49" fontId="81" fillId="13" borderId="66" xfId="0" applyNumberFormat="1" applyFont="1" applyFill="1" applyBorder="1" applyAlignment="1">
      <alignment wrapText="1"/>
    </xf>
    <xf numFmtId="1" fontId="71" fillId="14" borderId="20" xfId="0" applyNumberFormat="1" applyFont="1" applyFill="1" applyBorder="1" applyAlignment="1">
      <alignment horizontal="center" vertical="center" wrapText="1"/>
    </xf>
    <xf numFmtId="1" fontId="71" fillId="38" borderId="14" xfId="0" applyNumberFormat="1" applyFont="1" applyFill="1" applyBorder="1" applyAlignment="1">
      <alignment horizontal="center" vertical="center" wrapText="1"/>
    </xf>
    <xf numFmtId="1" fontId="71" fillId="38" borderId="1" xfId="0" applyNumberFormat="1" applyFont="1" applyFill="1" applyBorder="1" applyAlignment="1">
      <alignment horizontal="center" vertical="center" wrapText="1"/>
    </xf>
    <xf numFmtId="0" fontId="69" fillId="39" borderId="1" xfId="0" applyFont="1" applyFill="1" applyBorder="1" applyAlignment="1">
      <alignment horizontal="center" vertical="center"/>
    </xf>
    <xf numFmtId="1" fontId="69" fillId="39" borderId="14" xfId="0" applyNumberFormat="1" applyFont="1" applyFill="1" applyBorder="1" applyAlignment="1">
      <alignment horizontal="center" vertical="center" wrapText="1"/>
    </xf>
    <xf numFmtId="1" fontId="69" fillId="39" borderId="1" xfId="0" applyNumberFormat="1" applyFont="1" applyFill="1" applyBorder="1" applyAlignment="1">
      <alignment horizontal="center" vertical="center" wrapText="1"/>
    </xf>
    <xf numFmtId="1" fontId="69" fillId="39" borderId="17" xfId="0" applyNumberFormat="1" applyFont="1" applyFill="1" applyBorder="1" applyAlignment="1">
      <alignment horizontal="center" vertical="center" wrapText="1"/>
    </xf>
    <xf numFmtId="1" fontId="71" fillId="40" borderId="14" xfId="0" applyNumberFormat="1" applyFont="1" applyFill="1" applyBorder="1" applyAlignment="1">
      <alignment horizontal="center" vertical="center" wrapText="1"/>
    </xf>
    <xf numFmtId="0" fontId="71" fillId="40" borderId="1" xfId="0" applyFont="1" applyFill="1" applyBorder="1" applyAlignment="1">
      <alignment horizontal="center" vertical="center"/>
    </xf>
    <xf numFmtId="1" fontId="71" fillId="40" borderId="1" xfId="0" applyNumberFormat="1" applyFont="1" applyFill="1" applyBorder="1" applyAlignment="1">
      <alignment horizontal="center" vertical="center" wrapText="1"/>
    </xf>
    <xf numFmtId="0" fontId="92" fillId="0" borderId="69" xfId="19" applyFont="1" applyBorder="1"/>
    <xf numFmtId="0" fontId="98" fillId="0" borderId="1" xfId="0" applyFont="1" applyBorder="1" applyAlignment="1">
      <alignment horizontal="center" vertical="center"/>
    </xf>
    <xf numFmtId="0" fontId="90" fillId="34" borderId="69" xfId="19" applyFont="1" applyFill="1" applyBorder="1"/>
    <xf numFmtId="0" fontId="90" fillId="13" borderId="0" xfId="19" applyFont="1" applyFill="1" applyProtection="1"/>
    <xf numFmtId="0" fontId="90" fillId="35" borderId="69" xfId="19" applyFont="1" applyFill="1" applyBorder="1"/>
    <xf numFmtId="0" fontId="90" fillId="36" borderId="69" xfId="19" applyFont="1" applyFill="1" applyBorder="1"/>
    <xf numFmtId="0" fontId="90" fillId="37" borderId="69" xfId="19" applyFont="1" applyFill="1" applyBorder="1"/>
    <xf numFmtId="1" fontId="69" fillId="25" borderId="1" xfId="0" applyNumberFormat="1" applyFont="1" applyFill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/>
    </xf>
    <xf numFmtId="0" fontId="69" fillId="0" borderId="72" xfId="0" applyFont="1" applyBorder="1" applyAlignment="1">
      <alignment vertical="center"/>
    </xf>
    <xf numFmtId="0" fontId="69" fillId="0" borderId="18" xfId="0" applyFont="1" applyBorder="1" applyAlignment="1">
      <alignment vertical="center"/>
    </xf>
    <xf numFmtId="0" fontId="69" fillId="0" borderId="17" xfId="0" applyFont="1" applyBorder="1" applyAlignment="1">
      <alignment horizontal="center" vertical="center"/>
    </xf>
    <xf numFmtId="0" fontId="68" fillId="0" borderId="14" xfId="0" applyFont="1" applyBorder="1" applyAlignment="1">
      <alignment horizontal="center" vertical="center"/>
    </xf>
    <xf numFmtId="1" fontId="69" fillId="18" borderId="18" xfId="0" applyNumberFormat="1" applyFont="1" applyFill="1" applyBorder="1" applyAlignment="1">
      <alignment horizontal="center" vertical="center" wrapText="1"/>
    </xf>
    <xf numFmtId="0" fontId="78" fillId="13" borderId="66" xfId="0" applyFont="1" applyFill="1" applyBorder="1"/>
    <xf numFmtId="0" fontId="92" fillId="0" borderId="1" xfId="19" applyFont="1" applyBorder="1"/>
    <xf numFmtId="0" fontId="69" fillId="25" borderId="68" xfId="0" applyFont="1" applyFill="1" applyBorder="1" applyAlignment="1">
      <alignment horizontal="center" vertical="center"/>
    </xf>
    <xf numFmtId="1" fontId="70" fillId="0" borderId="67" xfId="0" applyNumberFormat="1" applyFont="1" applyBorder="1" applyAlignment="1">
      <alignment horizontal="center" vertical="center"/>
    </xf>
    <xf numFmtId="0" fontId="90" fillId="41" borderId="0" xfId="19" applyFont="1" applyFill="1" applyProtection="1"/>
    <xf numFmtId="1" fontId="70" fillId="0" borderId="0" xfId="0" applyNumberFormat="1" applyFont="1" applyAlignment="1">
      <alignment horizontal="center" vertical="center"/>
    </xf>
    <xf numFmtId="0" fontId="69" fillId="0" borderId="14" xfId="0" applyFont="1" applyBorder="1" applyAlignment="1">
      <alignment vertical="center"/>
    </xf>
    <xf numFmtId="0" fontId="71" fillId="38" borderId="1" xfId="0" applyFont="1" applyFill="1" applyBorder="1" applyAlignment="1">
      <alignment horizontal="center" vertical="center"/>
    </xf>
    <xf numFmtId="0" fontId="99" fillId="0" borderId="1" xfId="19" applyFont="1" applyBorder="1"/>
    <xf numFmtId="0" fontId="61" fillId="0" borderId="1" xfId="0" applyFont="1" applyBorder="1"/>
    <xf numFmtId="0" fontId="90" fillId="41" borderId="69" xfId="19" applyFont="1" applyFill="1" applyBorder="1"/>
    <xf numFmtId="1" fontId="69" fillId="18" borderId="0" xfId="0" applyNumberFormat="1" applyFont="1" applyFill="1" applyAlignment="1">
      <alignment horizontal="center" vertical="center" wrapText="1"/>
    </xf>
    <xf numFmtId="1" fontId="69" fillId="12" borderId="0" xfId="0" applyNumberFormat="1" applyFont="1" applyFill="1" applyAlignment="1">
      <alignment horizontal="center" vertical="center"/>
    </xf>
    <xf numFmtId="1" fontId="69" fillId="0" borderId="0" xfId="0" applyNumberFormat="1" applyFont="1" applyAlignment="1">
      <alignment horizontal="center" vertical="center" wrapText="1"/>
    </xf>
    <xf numFmtId="1" fontId="65" fillId="13" borderId="14" xfId="0" applyNumberFormat="1" applyFont="1" applyFill="1" applyBorder="1" applyAlignment="1">
      <alignment horizontal="center" vertical="center" wrapText="1"/>
    </xf>
    <xf numFmtId="0" fontId="69" fillId="0" borderId="14" xfId="0" applyFont="1" applyBorder="1" applyAlignment="1">
      <alignment horizontal="left" vertical="center"/>
    </xf>
    <xf numFmtId="0" fontId="69" fillId="0" borderId="72" xfId="0" applyFont="1" applyBorder="1" applyAlignment="1">
      <alignment horizontal="left" vertical="center"/>
    </xf>
    <xf numFmtId="0" fontId="69" fillId="0" borderId="18" xfId="0" applyFont="1" applyBorder="1" applyAlignment="1">
      <alignment horizontal="left" vertical="center"/>
    </xf>
    <xf numFmtId="0" fontId="67" fillId="8" borderId="19" xfId="0" applyFont="1" applyFill="1" applyBorder="1" applyAlignment="1">
      <alignment horizontal="center" vertical="center" wrapText="1"/>
    </xf>
    <xf numFmtId="0" fontId="67" fillId="8" borderId="67" xfId="0" applyFont="1" applyFill="1" applyBorder="1" applyAlignment="1">
      <alignment horizontal="center" vertical="center" wrapText="1"/>
    </xf>
    <xf numFmtId="0" fontId="67" fillId="8" borderId="12" xfId="0" applyFont="1" applyFill="1" applyBorder="1" applyAlignment="1">
      <alignment horizontal="center" vertical="center"/>
    </xf>
    <xf numFmtId="0" fontId="67" fillId="8" borderId="17" xfId="0" applyFont="1" applyFill="1" applyBorder="1" applyAlignment="1">
      <alignment horizontal="center" vertical="center"/>
    </xf>
    <xf numFmtId="0" fontId="77" fillId="2" borderId="0" xfId="0" applyFont="1" applyFill="1" applyAlignment="1">
      <alignment horizontal="center" vertical="top" wrapText="1"/>
    </xf>
    <xf numFmtId="0" fontId="72" fillId="13" borderId="70" xfId="0" applyFont="1" applyFill="1" applyBorder="1" applyAlignment="1">
      <alignment horizontal="center" vertical="center"/>
    </xf>
    <xf numFmtId="0" fontId="72" fillId="13" borderId="0" xfId="0" applyFont="1" applyFill="1" applyAlignment="1">
      <alignment horizontal="center" vertical="center"/>
    </xf>
    <xf numFmtId="0" fontId="72" fillId="13" borderId="71" xfId="0" applyFont="1" applyFill="1" applyBorder="1" applyAlignment="1">
      <alignment horizontal="center" vertical="center"/>
    </xf>
    <xf numFmtId="0" fontId="83" fillId="2" borderId="0" xfId="0" applyFont="1" applyFill="1" applyAlignment="1">
      <alignment horizontal="center" wrapText="1"/>
    </xf>
    <xf numFmtId="0" fontId="42" fillId="5" borderId="61" xfId="0" applyFont="1" applyFill="1" applyBorder="1" applyAlignment="1">
      <alignment horizontal="center" vertical="center"/>
    </xf>
    <xf numFmtId="0" fontId="42" fillId="5" borderId="60" xfId="0" applyFont="1" applyFill="1" applyBorder="1" applyAlignment="1">
      <alignment horizontal="center" vertical="center"/>
    </xf>
    <xf numFmtId="0" fontId="42" fillId="5" borderId="59" xfId="0" applyFont="1" applyFill="1" applyBorder="1" applyAlignment="1">
      <alignment horizontal="center" vertical="center"/>
    </xf>
    <xf numFmtId="0" fontId="77" fillId="2" borderId="15" xfId="0" applyFont="1" applyFill="1" applyBorder="1" applyAlignment="1">
      <alignment horizontal="center" vertical="top" wrapText="1"/>
    </xf>
    <xf numFmtId="0" fontId="61" fillId="0" borderId="98" xfId="0" applyFont="1" applyBorder="1" applyAlignment="1">
      <alignment horizontal="left" vertical="center"/>
    </xf>
    <xf numFmtId="0" fontId="61" fillId="0" borderId="97" xfId="0" applyFont="1" applyBorder="1" applyAlignment="1">
      <alignment horizontal="left" vertical="center"/>
    </xf>
    <xf numFmtId="0" fontId="61" fillId="0" borderId="99" xfId="0" applyFont="1" applyBorder="1" applyAlignment="1">
      <alignment horizontal="left" vertical="center"/>
    </xf>
    <xf numFmtId="0" fontId="61" fillId="0" borderId="83" xfId="0" applyFont="1" applyBorder="1" applyAlignment="1">
      <alignment horizontal="left" vertical="center"/>
    </xf>
    <xf numFmtId="0" fontId="61" fillId="0" borderId="86" xfId="0" applyFont="1" applyBorder="1" applyAlignment="1">
      <alignment horizontal="left" vertical="center"/>
    </xf>
    <xf numFmtId="0" fontId="61" fillId="0" borderId="88" xfId="0" applyFont="1" applyBorder="1" applyAlignment="1">
      <alignment horizontal="left" vertical="center"/>
    </xf>
    <xf numFmtId="0" fontId="61" fillId="0" borderId="93" xfId="0" applyFont="1" applyBorder="1" applyAlignment="1">
      <alignment horizontal="left" vertical="center"/>
    </xf>
    <xf numFmtId="0" fontId="61" fillId="0" borderId="94" xfId="0" applyFont="1" applyBorder="1" applyAlignment="1">
      <alignment horizontal="left" vertical="center"/>
    </xf>
    <xf numFmtId="0" fontId="61" fillId="0" borderId="106" xfId="0" applyFont="1" applyBorder="1" applyAlignment="1">
      <alignment horizontal="left" vertical="center"/>
    </xf>
    <xf numFmtId="0" fontId="69" fillId="2" borderId="3" xfId="0" applyFont="1" applyFill="1" applyBorder="1" applyAlignment="1">
      <alignment horizontal="center" vertical="top"/>
    </xf>
    <xf numFmtId="0" fontId="77" fillId="2" borderId="21" xfId="0" applyFont="1" applyFill="1" applyBorder="1" applyAlignment="1">
      <alignment horizontal="center" vertical="top" wrapText="1"/>
    </xf>
    <xf numFmtId="0" fontId="69" fillId="0" borderId="3" xfId="0" applyFont="1" applyBorder="1" applyAlignment="1">
      <alignment horizontal="center" vertical="top"/>
    </xf>
    <xf numFmtId="0" fontId="69" fillId="0" borderId="61" xfId="0" applyFont="1" applyBorder="1" applyAlignment="1">
      <alignment horizontal="center" vertical="top"/>
    </xf>
    <xf numFmtId="0" fontId="69" fillId="0" borderId="60" xfId="0" applyFont="1" applyBorder="1" applyAlignment="1">
      <alignment horizontal="center" vertical="top"/>
    </xf>
    <xf numFmtId="0" fontId="69" fillId="0" borderId="59" xfId="0" applyFont="1" applyBorder="1" applyAlignment="1">
      <alignment horizontal="center" vertical="top"/>
    </xf>
    <xf numFmtId="0" fontId="69" fillId="2" borderId="61" xfId="0" applyFont="1" applyFill="1" applyBorder="1" applyAlignment="1">
      <alignment horizontal="center" vertical="top"/>
    </xf>
    <xf numFmtId="0" fontId="69" fillId="2" borderId="60" xfId="0" applyFont="1" applyFill="1" applyBorder="1" applyAlignment="1">
      <alignment horizontal="center" vertical="top"/>
    </xf>
    <xf numFmtId="0" fontId="69" fillId="2" borderId="59" xfId="0" applyFont="1" applyFill="1" applyBorder="1" applyAlignment="1">
      <alignment horizontal="center" vertical="top"/>
    </xf>
    <xf numFmtId="1" fontId="69" fillId="0" borderId="61" xfId="0" applyNumberFormat="1" applyFont="1" applyBorder="1" applyAlignment="1">
      <alignment horizontal="center" vertical="center" wrapText="1"/>
    </xf>
    <xf numFmtId="1" fontId="69" fillId="0" borderId="60" xfId="0" applyNumberFormat="1" applyFont="1" applyBorder="1" applyAlignment="1">
      <alignment horizontal="center" vertical="center" wrapText="1"/>
    </xf>
    <xf numFmtId="1" fontId="69" fillId="0" borderId="59" xfId="0" applyNumberFormat="1" applyFont="1" applyBorder="1" applyAlignment="1">
      <alignment horizontal="center" vertical="center" wrapText="1"/>
    </xf>
    <xf numFmtId="0" fontId="69" fillId="33" borderId="61" xfId="0" applyFont="1" applyFill="1" applyBorder="1" applyAlignment="1">
      <alignment horizontal="center" vertical="top"/>
    </xf>
    <xf numFmtId="0" fontId="69" fillId="33" borderId="60" xfId="0" applyFont="1" applyFill="1" applyBorder="1" applyAlignment="1">
      <alignment horizontal="center" vertical="top"/>
    </xf>
    <xf numFmtId="0" fontId="69" fillId="33" borderId="59" xfId="0" applyFont="1" applyFill="1" applyBorder="1" applyAlignment="1">
      <alignment horizontal="center" vertical="top"/>
    </xf>
    <xf numFmtId="0" fontId="24" fillId="2" borderId="0" xfId="0" applyFont="1" applyFill="1" applyAlignment="1">
      <alignment horizontal="center" vertical="top"/>
    </xf>
    <xf numFmtId="0" fontId="29" fillId="3" borderId="7" xfId="0" applyFont="1" applyFill="1" applyBorder="1" applyAlignment="1">
      <alignment horizontal="center" vertical="center" wrapText="1"/>
    </xf>
    <xf numFmtId="0" fontId="31" fillId="3" borderId="8" xfId="0" applyFont="1" applyFill="1" applyBorder="1" applyAlignment="1">
      <alignment horizontal="center" vertical="center"/>
    </xf>
    <xf numFmtId="0" fontId="30" fillId="3" borderId="10" xfId="0" applyFont="1" applyFill="1" applyBorder="1" applyAlignment="1">
      <alignment horizontal="center" vertical="center" wrapText="1"/>
    </xf>
    <xf numFmtId="0" fontId="38" fillId="0" borderId="63" xfId="0" applyFont="1" applyBorder="1" applyAlignment="1">
      <alignment horizontal="center"/>
    </xf>
    <xf numFmtId="0" fontId="38" fillId="0" borderId="64" xfId="0" applyFont="1" applyBorder="1" applyAlignment="1">
      <alignment horizontal="center"/>
    </xf>
    <xf numFmtId="0" fontId="40" fillId="0" borderId="0" xfId="1" applyAlignment="1">
      <alignment horizontal="center" vertical="center"/>
    </xf>
    <xf numFmtId="0" fontId="47" fillId="0" borderId="0" xfId="1" applyFont="1" applyAlignment="1">
      <alignment horizontal="right" vertical="center"/>
    </xf>
    <xf numFmtId="0" fontId="48" fillId="0" borderId="0" xfId="1" applyFont="1" applyAlignment="1">
      <alignment horizontal="right" vertical="center"/>
    </xf>
    <xf numFmtId="0" fontId="49" fillId="0" borderId="23" xfId="1" applyFont="1" applyBorder="1" applyAlignment="1">
      <alignment horizontal="left" vertical="center"/>
    </xf>
    <xf numFmtId="0" fontId="49" fillId="0" borderId="27" xfId="1" applyFont="1" applyBorder="1" applyAlignment="1">
      <alignment horizontal="left" vertical="center"/>
    </xf>
    <xf numFmtId="0" fontId="30" fillId="0" borderId="24" xfId="1" applyFont="1" applyBorder="1" applyAlignment="1">
      <alignment horizontal="center" vertical="center" wrapText="1"/>
    </xf>
    <xf numFmtId="0" fontId="30" fillId="0" borderId="28" xfId="1" applyFont="1" applyBorder="1" applyAlignment="1">
      <alignment horizontal="center" vertical="center" wrapText="1"/>
    </xf>
    <xf numFmtId="0" fontId="30" fillId="0" borderId="26" xfId="1" applyFont="1" applyBorder="1" applyAlignment="1">
      <alignment horizontal="center" vertical="center" wrapText="1"/>
    </xf>
    <xf numFmtId="0" fontId="30" fillId="0" borderId="31" xfId="1" applyFont="1" applyBorder="1" applyAlignment="1">
      <alignment horizontal="center" vertical="center" wrapText="1"/>
    </xf>
    <xf numFmtId="0" fontId="60" fillId="0" borderId="0" xfId="1" applyFont="1" applyAlignment="1">
      <alignment horizontal="center" vertical="center"/>
    </xf>
    <xf numFmtId="0" fontId="61" fillId="0" borderId="0" xfId="1" applyFont="1" applyAlignment="1">
      <alignment horizontal="center" vertical="top"/>
    </xf>
  </cellXfs>
  <cellStyles count="27">
    <cellStyle name="Normal" xfId="0" builtinId="0"/>
    <cellStyle name="Normal 10" xfId="9" xr:uid="{00000000-0005-0000-0000-000001000000}"/>
    <cellStyle name="Normal 11" xfId="10" xr:uid="{00000000-0005-0000-0000-000002000000}"/>
    <cellStyle name="Normal 12" xfId="11" xr:uid="{00000000-0005-0000-0000-000003000000}"/>
    <cellStyle name="Normal 13" xfId="12" xr:uid="{00000000-0005-0000-0000-000004000000}"/>
    <cellStyle name="Normal 14" xfId="13" xr:uid="{00000000-0005-0000-0000-000005000000}"/>
    <cellStyle name="Normal 15" xfId="14" xr:uid="{00000000-0005-0000-0000-000006000000}"/>
    <cellStyle name="Normal 16" xfId="15" xr:uid="{00000000-0005-0000-0000-000007000000}"/>
    <cellStyle name="Normal 17" xfId="16" xr:uid="{00000000-0005-0000-0000-000008000000}"/>
    <cellStyle name="Normal 18" xfId="17" xr:uid="{00000000-0005-0000-0000-000009000000}"/>
    <cellStyle name="Normal 19" xfId="18" xr:uid="{00000000-0005-0000-0000-00000A000000}"/>
    <cellStyle name="Normal 2" xfId="1" xr:uid="{00000000-0005-0000-0000-00000B000000}"/>
    <cellStyle name="Normal 20" xfId="19" xr:uid="{00000000-0005-0000-0000-00000C000000}"/>
    <cellStyle name="Normal 21" xfId="20" xr:uid="{00000000-0005-0000-0000-00000D000000}"/>
    <cellStyle name="Normal 22" xfId="21" xr:uid="{00000000-0005-0000-0000-00000E000000}"/>
    <cellStyle name="Normal 23" xfId="22" xr:uid="{00000000-0005-0000-0000-00000F000000}"/>
    <cellStyle name="Normal 24" xfId="23" xr:uid="{6DE59C1E-1048-4588-8E9D-108490B976F5}"/>
    <cellStyle name="Normal 25" xfId="24" xr:uid="{78C18E5E-9726-4932-B2F4-122179C5630A}"/>
    <cellStyle name="Normal 26" xfId="25" xr:uid="{F2CAE4B7-3DC9-4013-A031-1100C9E3CF0B}"/>
    <cellStyle name="Normal 27" xfId="26" xr:uid="{65784C1B-2BBF-46FC-B73F-AF24BDA2E479}"/>
    <cellStyle name="Normal 3" xfId="2" xr:uid="{00000000-0005-0000-0000-000010000000}"/>
    <cellStyle name="Normal 4" xfId="3" xr:uid="{00000000-0005-0000-0000-000011000000}"/>
    <cellStyle name="Normal 5" xfId="4" xr:uid="{00000000-0005-0000-0000-000012000000}"/>
    <cellStyle name="Normal 6" xfId="5" xr:uid="{00000000-0005-0000-0000-000013000000}"/>
    <cellStyle name="Normal 7" xfId="6" xr:uid="{00000000-0005-0000-0000-000014000000}"/>
    <cellStyle name="Normal 8" xfId="7" xr:uid="{00000000-0005-0000-0000-000015000000}"/>
    <cellStyle name="Normal 9" xfId="8" xr:uid="{00000000-0005-0000-0000-000016000000}"/>
  </cellStyles>
  <dxfs count="845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6" formatCode="#,##0.00_-[$€ ]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6" formatCode="#,##0.00_-[$€ ]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6" formatCode="#,##0.00_-[$€ ]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theme="4" tint="0.39997558519241921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6" formatCode="#,##0.00_-[$€ ]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6" formatCode="#,##0.00_-[$€ ]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6" formatCode="#,##0.00_-[$€ ]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6" formatCode="#,##0.00_-[$€ ]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rgb="FF9BC2E6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6" formatCode="#,##0.00_-[$€ ]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6" formatCode="#,##0.00_-[$€ ]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6" formatCode="#,##0.00_-[$€ ]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6" formatCode="#,##0.00_-[$€ ]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rgb="FF9BC2E6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6" formatCode="#,##0.00_-[$€ ]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6" formatCode="#,##0.00_-[$€ ]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6" formatCode="#,##0.00_-[$€ ]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6" formatCode="#,##0.00_-[$€ ]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rgb="FF9BC2E6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6" formatCode="#,##0.00_-[$€ ]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6" formatCode="#,##0.00_-[$€ ]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6" formatCode="#,##0.00_-[$€ ]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6" formatCode="#,##0.00_-[$€ ]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rgb="FF9BC2E6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6" formatCode="#,##0.00_-[$€ ]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6" formatCode="#,##0.00_-[$€ ]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6" formatCode="#,##0.00_-[$€ ]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6" formatCode="#,##0.00_-[$€ ]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left style="thin">
          <color rgb="FF9BC2E6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6" formatCode="#,##0.00_-[$€ ]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none">
          <fgColor rgb="FF000000"/>
          <bgColor rgb="FFFFFFFF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1" defaultTableStyle="TableStyleMedium2" defaultPivotStyle="PivotStyleLight16">
    <tableStyle name="Estilo de tabla 1" pivot="0" count="0" xr9:uid="{00000000-0011-0000-FFFF-FFFF00000000}"/>
  </tableStyles>
  <colors>
    <mruColors>
      <color rgb="FFFFCCCC"/>
      <color rgb="FFFFF9CD"/>
      <color rgb="FFFFCC99"/>
      <color rgb="FFCCFFFF"/>
      <color rgb="FFFFFFFF"/>
      <color rgb="FFA50021"/>
      <color rgb="FFFFFFCC"/>
      <color rgb="FF800000"/>
      <color rgb="FFFFF6DD"/>
      <color rgb="FFECFE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s-ES"/>
              <a:t>Participación</a:t>
            </a:r>
            <a:r>
              <a:rPr lang="es-ES" baseline="0"/>
              <a:t> absoluta de pilotos madrileños en el Cto.</a:t>
            </a:r>
            <a:endParaRPr lang="es-E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chemeClr val="accent1"/>
                </a:gs>
                <a:gs pos="100000">
                  <a:schemeClr val="accent1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Gráficos!$A$30:$A$41</c:f>
              <c:numCache>
                <c:formatCode>General</c:formatCode>
                <c:ptCount val="12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</c:numCache>
            </c:numRef>
          </c:cat>
          <c:val>
            <c:numRef>
              <c:f>Gráficos!$B$30:$B$41</c:f>
              <c:numCache>
                <c:formatCode>General</c:formatCode>
                <c:ptCount val="12"/>
                <c:pt idx="0">
                  <c:v>32</c:v>
                </c:pt>
                <c:pt idx="1">
                  <c:v>52</c:v>
                </c:pt>
                <c:pt idx="2">
                  <c:v>63</c:v>
                </c:pt>
                <c:pt idx="3">
                  <c:v>63</c:v>
                </c:pt>
                <c:pt idx="4">
                  <c:v>56</c:v>
                </c:pt>
                <c:pt idx="5">
                  <c:v>49</c:v>
                </c:pt>
                <c:pt idx="6">
                  <c:v>51</c:v>
                </c:pt>
                <c:pt idx="7">
                  <c:v>52</c:v>
                </c:pt>
                <c:pt idx="8">
                  <c:v>58</c:v>
                </c:pt>
                <c:pt idx="9">
                  <c:v>67</c:v>
                </c:pt>
                <c:pt idx="10">
                  <c:v>54</c:v>
                </c:pt>
                <c:pt idx="11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16-41E6-B135-27BBF785A5C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2027988416"/>
        <c:axId val="2027988960"/>
      </c:barChart>
      <c:catAx>
        <c:axId val="2027988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27988960"/>
        <c:crosses val="autoZero"/>
        <c:auto val="1"/>
        <c:lblAlgn val="ctr"/>
        <c:lblOffset val="100"/>
        <c:noMultiLvlLbl val="0"/>
      </c:catAx>
      <c:valAx>
        <c:axId val="2027988960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Nº</a:t>
                </a:r>
                <a:r>
                  <a:rPr lang="es-ES" baseline="0"/>
                  <a:t> de pilotos madrileños</a:t>
                </a:r>
                <a:endParaRPr lang="es-ES"/>
              </a:p>
            </c:rich>
          </c:tx>
          <c:layout>
            <c:manualLayout>
              <c:xMode val="edge"/>
              <c:yMode val="edge"/>
              <c:x val="1.7817367771514939E-2"/>
              <c:y val="0.4347725284339457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General" sourceLinked="1"/>
        <c:majorTickMark val="out"/>
        <c:minorTickMark val="none"/>
        <c:tickLblPos val="nextTo"/>
        <c:crossAx val="20279884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s-ES" baseline="0"/>
              <a:t>Participantes totales por clase temporada 2022</a:t>
            </a:r>
            <a:endParaRPr lang="es-E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chemeClr val="accent1"/>
                </a:gs>
                <a:gs pos="100000">
                  <a:schemeClr val="accent1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Gráficos!$A$49:$A$55</c:f>
              <c:strCache>
                <c:ptCount val="7"/>
                <c:pt idx="0">
                  <c:v>Clase 1</c:v>
                </c:pt>
                <c:pt idx="1">
                  <c:v>Clase 2</c:v>
                </c:pt>
                <c:pt idx="2">
                  <c:v>Clase 3</c:v>
                </c:pt>
                <c:pt idx="3">
                  <c:v>Clase 4</c:v>
                </c:pt>
                <c:pt idx="4">
                  <c:v>Clase 5</c:v>
                </c:pt>
                <c:pt idx="5">
                  <c:v>Clase 6</c:v>
                </c:pt>
                <c:pt idx="6">
                  <c:v>Clase 7</c:v>
                </c:pt>
              </c:strCache>
            </c:strRef>
          </c:cat>
          <c:val>
            <c:numRef>
              <c:f>Gráficos!$B$49:$B$55</c:f>
              <c:numCache>
                <c:formatCode>General</c:formatCode>
                <c:ptCount val="7"/>
                <c:pt idx="0">
                  <c:v>7</c:v>
                </c:pt>
                <c:pt idx="1">
                  <c:v>14</c:v>
                </c:pt>
                <c:pt idx="2">
                  <c:v>17</c:v>
                </c:pt>
                <c:pt idx="3">
                  <c:v>8</c:v>
                </c:pt>
                <c:pt idx="4">
                  <c:v>5</c:v>
                </c:pt>
                <c:pt idx="5">
                  <c:v>6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4B-4400-9803-CC8C77502B3B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2027978080"/>
        <c:axId val="1978959584"/>
      </c:barChart>
      <c:catAx>
        <c:axId val="2027978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/>
            </a:solidFill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es-ES"/>
          </a:p>
        </c:txPr>
        <c:crossAx val="1978959584"/>
        <c:crosses val="autoZero"/>
        <c:auto val="1"/>
        <c:lblAlgn val="ctr"/>
        <c:lblOffset val="100"/>
        <c:noMultiLvlLbl val="0"/>
      </c:catAx>
      <c:valAx>
        <c:axId val="1978959584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Nº</a:t>
                </a:r>
                <a:r>
                  <a:rPr lang="es-ES" baseline="0"/>
                  <a:t> de participantes</a:t>
                </a:r>
                <a:endParaRPr lang="es-ES"/>
              </a:p>
            </c:rich>
          </c:tx>
          <c:layout>
            <c:manualLayout>
              <c:xMode val="edge"/>
              <c:yMode val="edge"/>
              <c:x val="2.1776782831851593E-2"/>
              <c:y val="0.5259259259259259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General" sourceLinked="1"/>
        <c:majorTickMark val="out"/>
        <c:minorTickMark val="none"/>
        <c:tickLblPos val="nextTo"/>
        <c:crossAx val="20279780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s-ES"/>
              <a:t>Nº</a:t>
            </a:r>
            <a:r>
              <a:rPr lang="es-ES" baseline="0"/>
              <a:t> de pruebas puntuables por temporada</a:t>
            </a:r>
            <a:endParaRPr lang="es-E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chemeClr val="accent1"/>
                </a:gs>
                <a:gs pos="100000">
                  <a:schemeClr val="accent1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Gráficos!$A$68:$A$78</c:f>
              <c:numCache>
                <c:formatCode>General</c:formatCode>
                <c:ptCount val="11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</c:numCache>
            </c:numRef>
          </c:cat>
          <c:val>
            <c:numRef>
              <c:f>Gráficos!$B$68:$B$78</c:f>
              <c:numCache>
                <c:formatCode>General</c:formatCode>
                <c:ptCount val="11"/>
                <c:pt idx="0">
                  <c:v>7</c:v>
                </c:pt>
                <c:pt idx="1">
                  <c:v>7</c:v>
                </c:pt>
                <c:pt idx="2">
                  <c:v>8</c:v>
                </c:pt>
                <c:pt idx="3">
                  <c:v>4</c:v>
                </c:pt>
                <c:pt idx="4">
                  <c:v>4</c:v>
                </c:pt>
                <c:pt idx="5">
                  <c:v>5</c:v>
                </c:pt>
                <c:pt idx="6">
                  <c:v>4</c:v>
                </c:pt>
                <c:pt idx="7">
                  <c:v>6</c:v>
                </c:pt>
                <c:pt idx="8">
                  <c:v>4</c:v>
                </c:pt>
                <c:pt idx="9">
                  <c:v>5</c:v>
                </c:pt>
                <c:pt idx="1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14-47B9-AF59-10F61AF4AB69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2091344688"/>
        <c:axId val="2091347408"/>
      </c:barChart>
      <c:catAx>
        <c:axId val="2091344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91347408"/>
        <c:crosses val="autoZero"/>
        <c:auto val="1"/>
        <c:lblAlgn val="ctr"/>
        <c:lblOffset val="100"/>
        <c:noMultiLvlLbl val="0"/>
      </c:catAx>
      <c:valAx>
        <c:axId val="2091347408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Nº</a:t>
                </a:r>
                <a:r>
                  <a:rPr lang="es-ES" baseline="0"/>
                  <a:t> de pruebas</a:t>
                </a:r>
                <a:endParaRPr lang="es-ES"/>
              </a:p>
            </c:rich>
          </c:tx>
          <c:layout>
            <c:manualLayout>
              <c:xMode val="edge"/>
              <c:yMode val="edge"/>
              <c:x val="2.1776786226471095E-2"/>
              <c:y val="0.6232564158646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crossAx val="2091344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s-ES"/>
              <a:t>Evolucion</a:t>
            </a:r>
            <a:r>
              <a:rPr lang="es-ES" baseline="0"/>
              <a:t> p</a:t>
            </a:r>
            <a:r>
              <a:rPr lang="es-ES"/>
              <a:t>romedio de</a:t>
            </a:r>
            <a:r>
              <a:rPr lang="es-ES" baseline="0"/>
              <a:t> inscripciones pruebas</a:t>
            </a:r>
            <a:endParaRPr lang="es-E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chemeClr val="accent1"/>
                </a:gs>
                <a:gs pos="100000">
                  <a:schemeClr val="accent1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Gráficos!$A$11:$A$21</c:f>
              <c:numCache>
                <c:formatCode>General</c:formatCode>
                <c:ptCount val="11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</c:numCache>
            </c:numRef>
          </c:cat>
          <c:val>
            <c:numRef>
              <c:f>Gráficos!$B$11:$B$22</c:f>
              <c:numCache>
                <c:formatCode>0.0</c:formatCode>
                <c:ptCount val="12"/>
                <c:pt idx="0">
                  <c:v>34.700000000000003</c:v>
                </c:pt>
                <c:pt idx="1">
                  <c:v>37.4</c:v>
                </c:pt>
                <c:pt idx="2">
                  <c:v>30.8</c:v>
                </c:pt>
                <c:pt idx="3">
                  <c:v>36.799999999999997</c:v>
                </c:pt>
                <c:pt idx="4">
                  <c:v>39</c:v>
                </c:pt>
                <c:pt idx="5">
                  <c:v>34.200000000000003</c:v>
                </c:pt>
                <c:pt idx="6">
                  <c:v>43.5</c:v>
                </c:pt>
                <c:pt idx="7">
                  <c:v>36.200000000000003</c:v>
                </c:pt>
                <c:pt idx="8">
                  <c:v>30.5</c:v>
                </c:pt>
                <c:pt idx="9">
                  <c:v>43.6</c:v>
                </c:pt>
                <c:pt idx="10">
                  <c:v>38.799999999999997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3A-4C03-A2EA-9E24040C6D0C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2091345776"/>
        <c:axId val="2091356112"/>
      </c:barChart>
      <c:catAx>
        <c:axId val="2091345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91356112"/>
        <c:crosses val="autoZero"/>
        <c:auto val="1"/>
        <c:lblAlgn val="ctr"/>
        <c:lblOffset val="100"/>
        <c:noMultiLvlLbl val="0"/>
      </c:catAx>
      <c:valAx>
        <c:axId val="2091356112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Nº</a:t>
                </a:r>
                <a:r>
                  <a:rPr lang="es-ES" baseline="0"/>
                  <a:t> de inscritos</a:t>
                </a:r>
                <a:endParaRPr lang="es-ES"/>
              </a:p>
            </c:rich>
          </c:tx>
          <c:layout>
            <c:manualLayout>
              <c:xMode val="edge"/>
              <c:yMode val="edge"/>
              <c:x val="1.8547140649149921E-2"/>
              <c:y val="0.6021106736657917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0.0" sourceLinked="1"/>
        <c:majorTickMark val="none"/>
        <c:minorTickMark val="none"/>
        <c:tickLblPos val="nextTo"/>
        <c:crossAx val="2091345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4.pn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290874</xdr:colOff>
      <xdr:row>0</xdr:row>
      <xdr:rowOff>295275</xdr:rowOff>
    </xdr:from>
    <xdr:ext cx="1448983" cy="332965"/>
    <xdr:pic>
      <xdr:nvPicPr>
        <xdr:cNvPr id="2" name="Imagen 1">
          <a:extLst>
            <a:ext uri="{FF2B5EF4-FFF2-40B4-BE49-F238E27FC236}">
              <a16:creationId xmlns:a16="http://schemas.microsoft.com/office/drawing/2014/main" id="{497E49F3-1C83-4BC9-BEB4-8A2651439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5026" y="295275"/>
          <a:ext cx="1316876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0</xdr:row>
      <xdr:rowOff>229795</xdr:rowOff>
    </xdr:from>
    <xdr:ext cx="1291042" cy="422650"/>
    <xdr:pic>
      <xdr:nvPicPr>
        <xdr:cNvPr id="5" name="Imagen 4">
          <a:extLst>
            <a:ext uri="{FF2B5EF4-FFF2-40B4-BE49-F238E27FC236}">
              <a16:creationId xmlns:a16="http://schemas.microsoft.com/office/drawing/2014/main" id="{EC340FE0-15BE-4F40-8D45-268E0A56B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67908" y="229795"/>
          <a:ext cx="1265642" cy="429000"/>
        </a:xfrm>
        <a:prstGeom prst="rect">
          <a:avLst/>
        </a:prstGeom>
      </xdr:spPr>
    </xdr:pic>
    <xdr:clientData/>
  </xdr:oneCellAnchor>
  <xdr:oneCellAnchor>
    <xdr:from>
      <xdr:col>16</xdr:col>
      <xdr:colOff>290874</xdr:colOff>
      <xdr:row>51</xdr:row>
      <xdr:rowOff>295275</xdr:rowOff>
    </xdr:from>
    <xdr:ext cx="1581919" cy="337797"/>
    <xdr:pic>
      <xdr:nvPicPr>
        <xdr:cNvPr id="6" name="Imagen 5">
          <a:extLst>
            <a:ext uri="{FF2B5EF4-FFF2-40B4-BE49-F238E27FC236}">
              <a16:creationId xmlns:a16="http://schemas.microsoft.com/office/drawing/2014/main" id="{0D5E18A4-6241-468E-92FF-3537376B39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7917" y="29527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51</xdr:row>
      <xdr:rowOff>229795</xdr:rowOff>
    </xdr:from>
    <xdr:ext cx="1308711" cy="430657"/>
    <xdr:pic>
      <xdr:nvPicPr>
        <xdr:cNvPr id="7" name="Imagen 6">
          <a:extLst>
            <a:ext uri="{FF2B5EF4-FFF2-40B4-BE49-F238E27FC236}">
              <a16:creationId xmlns:a16="http://schemas.microsoft.com/office/drawing/2014/main" id="{8907E746-7D4D-4D62-B9FA-C2650A3E8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8432" y="229795"/>
          <a:ext cx="1308711" cy="430657"/>
        </a:xfrm>
        <a:prstGeom prst="rect">
          <a:avLst/>
        </a:prstGeom>
      </xdr:spPr>
    </xdr:pic>
    <xdr:clientData/>
  </xdr:oneCellAnchor>
  <xdr:oneCellAnchor>
    <xdr:from>
      <xdr:col>16</xdr:col>
      <xdr:colOff>290874</xdr:colOff>
      <xdr:row>110</xdr:row>
      <xdr:rowOff>295275</xdr:rowOff>
    </xdr:from>
    <xdr:ext cx="1581919" cy="337797"/>
    <xdr:pic>
      <xdr:nvPicPr>
        <xdr:cNvPr id="8" name="Imagen 7">
          <a:extLst>
            <a:ext uri="{FF2B5EF4-FFF2-40B4-BE49-F238E27FC236}">
              <a16:creationId xmlns:a16="http://schemas.microsoft.com/office/drawing/2014/main" id="{B384DBBD-6E18-42C2-8337-FF73E620D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7917" y="7928527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110</xdr:row>
      <xdr:rowOff>229795</xdr:rowOff>
    </xdr:from>
    <xdr:ext cx="1308711" cy="430657"/>
    <xdr:pic>
      <xdr:nvPicPr>
        <xdr:cNvPr id="9" name="Imagen 8">
          <a:extLst>
            <a:ext uri="{FF2B5EF4-FFF2-40B4-BE49-F238E27FC236}">
              <a16:creationId xmlns:a16="http://schemas.microsoft.com/office/drawing/2014/main" id="{65366684-D98C-405F-868C-9086B3816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8432" y="7863047"/>
          <a:ext cx="1308711" cy="430657"/>
        </a:xfrm>
        <a:prstGeom prst="rect">
          <a:avLst/>
        </a:prstGeom>
      </xdr:spPr>
    </xdr:pic>
    <xdr:clientData/>
  </xdr:oneCellAnchor>
  <xdr:oneCellAnchor>
    <xdr:from>
      <xdr:col>16</xdr:col>
      <xdr:colOff>290874</xdr:colOff>
      <xdr:row>157</xdr:row>
      <xdr:rowOff>295275</xdr:rowOff>
    </xdr:from>
    <xdr:ext cx="1581919" cy="337797"/>
    <xdr:pic>
      <xdr:nvPicPr>
        <xdr:cNvPr id="10" name="Imagen 9">
          <a:extLst>
            <a:ext uri="{FF2B5EF4-FFF2-40B4-BE49-F238E27FC236}">
              <a16:creationId xmlns:a16="http://schemas.microsoft.com/office/drawing/2014/main" id="{61C63D67-132A-4127-8BF5-0E4C7CBE3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5026" y="20223232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157</xdr:row>
      <xdr:rowOff>229795</xdr:rowOff>
    </xdr:from>
    <xdr:ext cx="1308711" cy="430657"/>
    <xdr:pic>
      <xdr:nvPicPr>
        <xdr:cNvPr id="11" name="Imagen 10">
          <a:extLst>
            <a:ext uri="{FF2B5EF4-FFF2-40B4-BE49-F238E27FC236}">
              <a16:creationId xmlns:a16="http://schemas.microsoft.com/office/drawing/2014/main" id="{2D6F1BD0-FC80-4428-83C5-B8F40404E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8432" y="7863047"/>
          <a:ext cx="1308711" cy="430657"/>
        </a:xfrm>
        <a:prstGeom prst="rect">
          <a:avLst/>
        </a:prstGeom>
      </xdr:spPr>
    </xdr:pic>
    <xdr:clientData/>
  </xdr:oneCellAnchor>
  <xdr:oneCellAnchor>
    <xdr:from>
      <xdr:col>16</xdr:col>
      <xdr:colOff>290874</xdr:colOff>
      <xdr:row>177</xdr:row>
      <xdr:rowOff>295275</xdr:rowOff>
    </xdr:from>
    <xdr:ext cx="1581919" cy="337797"/>
    <xdr:pic>
      <xdr:nvPicPr>
        <xdr:cNvPr id="12" name="Imagen 11">
          <a:extLst>
            <a:ext uri="{FF2B5EF4-FFF2-40B4-BE49-F238E27FC236}">
              <a16:creationId xmlns:a16="http://schemas.microsoft.com/office/drawing/2014/main" id="{1BAB8B6A-6886-4F4A-BD6C-114AA4887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7917" y="7928527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177</xdr:row>
      <xdr:rowOff>229795</xdr:rowOff>
    </xdr:from>
    <xdr:ext cx="1308711" cy="430657"/>
    <xdr:pic>
      <xdr:nvPicPr>
        <xdr:cNvPr id="13" name="Imagen 12">
          <a:extLst>
            <a:ext uri="{FF2B5EF4-FFF2-40B4-BE49-F238E27FC236}">
              <a16:creationId xmlns:a16="http://schemas.microsoft.com/office/drawing/2014/main" id="{48C2C0E4-46AB-43CD-B3A4-8B9C33C6B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8432" y="7863047"/>
          <a:ext cx="1308711" cy="430657"/>
        </a:xfrm>
        <a:prstGeom prst="rect">
          <a:avLst/>
        </a:prstGeom>
      </xdr:spPr>
    </xdr:pic>
    <xdr:clientData/>
  </xdr:oneCellAnchor>
  <xdr:oneCellAnchor>
    <xdr:from>
      <xdr:col>16</xdr:col>
      <xdr:colOff>290874</xdr:colOff>
      <xdr:row>240</xdr:row>
      <xdr:rowOff>295275</xdr:rowOff>
    </xdr:from>
    <xdr:ext cx="1581919" cy="337797"/>
    <xdr:pic>
      <xdr:nvPicPr>
        <xdr:cNvPr id="18" name="Imagen 17">
          <a:extLst>
            <a:ext uri="{FF2B5EF4-FFF2-40B4-BE49-F238E27FC236}">
              <a16:creationId xmlns:a16="http://schemas.microsoft.com/office/drawing/2014/main" id="{0FBAE736-6BCD-4ED7-8025-105C6EE0B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7917" y="7928527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240</xdr:row>
      <xdr:rowOff>229795</xdr:rowOff>
    </xdr:from>
    <xdr:ext cx="1308711" cy="430657"/>
    <xdr:pic>
      <xdr:nvPicPr>
        <xdr:cNvPr id="19" name="Imagen 18">
          <a:extLst>
            <a:ext uri="{FF2B5EF4-FFF2-40B4-BE49-F238E27FC236}">
              <a16:creationId xmlns:a16="http://schemas.microsoft.com/office/drawing/2014/main" id="{94A93043-C8CA-41EF-899B-C2589890BD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68736" y="30295665"/>
          <a:ext cx="1308711" cy="430657"/>
        </a:xfrm>
        <a:prstGeom prst="rect">
          <a:avLst/>
        </a:prstGeom>
      </xdr:spPr>
    </xdr:pic>
    <xdr:clientData/>
  </xdr:oneCellAnchor>
  <xdr:oneCellAnchor>
    <xdr:from>
      <xdr:col>14</xdr:col>
      <xdr:colOff>224611</xdr:colOff>
      <xdr:row>296</xdr:row>
      <xdr:rowOff>295275</xdr:rowOff>
    </xdr:from>
    <xdr:ext cx="1581919" cy="337797"/>
    <xdr:pic>
      <xdr:nvPicPr>
        <xdr:cNvPr id="26" name="Imagen 25">
          <a:extLst>
            <a:ext uri="{FF2B5EF4-FFF2-40B4-BE49-F238E27FC236}">
              <a16:creationId xmlns:a16="http://schemas.microsoft.com/office/drawing/2014/main" id="{E311F792-8C02-40CA-9C6A-78214992E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6154" y="38262753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120867</xdr:colOff>
      <xdr:row>296</xdr:row>
      <xdr:rowOff>229795</xdr:rowOff>
    </xdr:from>
    <xdr:ext cx="1308711" cy="430657"/>
    <xdr:pic>
      <xdr:nvPicPr>
        <xdr:cNvPr id="29" name="Imagen 28">
          <a:extLst>
            <a:ext uri="{FF2B5EF4-FFF2-40B4-BE49-F238E27FC236}">
              <a16:creationId xmlns:a16="http://schemas.microsoft.com/office/drawing/2014/main" id="{79142C24-E33C-4704-A044-F9CC38AD3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9345" y="38197273"/>
          <a:ext cx="1308711" cy="430657"/>
        </a:xfrm>
        <a:prstGeom prst="rect">
          <a:avLst/>
        </a:prstGeom>
      </xdr:spPr>
    </xdr:pic>
    <xdr:clientData/>
  </xdr:oneCellAnchor>
  <xdr:oneCellAnchor>
    <xdr:from>
      <xdr:col>14</xdr:col>
      <xdr:colOff>249461</xdr:colOff>
      <xdr:row>319</xdr:row>
      <xdr:rowOff>295275</xdr:rowOff>
    </xdr:from>
    <xdr:ext cx="1581919" cy="337797"/>
    <xdr:pic>
      <xdr:nvPicPr>
        <xdr:cNvPr id="40" name="Imagen 39">
          <a:extLst>
            <a:ext uri="{FF2B5EF4-FFF2-40B4-BE49-F238E27FC236}">
              <a16:creationId xmlns:a16="http://schemas.microsoft.com/office/drawing/2014/main" id="{370BF00C-3D3B-438E-B699-C0BAD797A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1004" y="4255314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120867</xdr:colOff>
      <xdr:row>319</xdr:row>
      <xdr:rowOff>229795</xdr:rowOff>
    </xdr:from>
    <xdr:ext cx="1308711" cy="430657"/>
    <xdr:pic>
      <xdr:nvPicPr>
        <xdr:cNvPr id="47" name="Imagen 46">
          <a:extLst>
            <a:ext uri="{FF2B5EF4-FFF2-40B4-BE49-F238E27FC236}">
              <a16:creationId xmlns:a16="http://schemas.microsoft.com/office/drawing/2014/main" id="{FBDF291D-9F03-4DF9-8BD9-2FEF38C7FD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9345" y="42512512"/>
          <a:ext cx="1308711" cy="430657"/>
        </a:xfrm>
        <a:prstGeom prst="rect">
          <a:avLst/>
        </a:prstGeom>
      </xdr:spPr>
    </xdr:pic>
    <xdr:clientData/>
  </xdr:oneCellAnchor>
  <xdr:oneCellAnchor>
    <xdr:from>
      <xdr:col>16</xdr:col>
      <xdr:colOff>290874</xdr:colOff>
      <xdr:row>260</xdr:row>
      <xdr:rowOff>295275</xdr:rowOff>
    </xdr:from>
    <xdr:ext cx="1581919" cy="337797"/>
    <xdr:pic>
      <xdr:nvPicPr>
        <xdr:cNvPr id="34" name="Imagen 33">
          <a:extLst>
            <a:ext uri="{FF2B5EF4-FFF2-40B4-BE49-F238E27FC236}">
              <a16:creationId xmlns:a16="http://schemas.microsoft.com/office/drawing/2014/main" id="{AD01ACAC-B70D-4502-B623-6DCBD372D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5026" y="3036114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260</xdr:row>
      <xdr:rowOff>229795</xdr:rowOff>
    </xdr:from>
    <xdr:ext cx="1308711" cy="430657"/>
    <xdr:pic>
      <xdr:nvPicPr>
        <xdr:cNvPr id="35" name="Imagen 34">
          <a:extLst>
            <a:ext uri="{FF2B5EF4-FFF2-40B4-BE49-F238E27FC236}">
              <a16:creationId xmlns:a16="http://schemas.microsoft.com/office/drawing/2014/main" id="{BC66871B-CCC6-4D04-BA7E-92E8C3DD3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68736" y="30295665"/>
          <a:ext cx="1308711" cy="430657"/>
        </a:xfrm>
        <a:prstGeom prst="rect">
          <a:avLst/>
        </a:prstGeom>
      </xdr:spPr>
    </xdr:pic>
    <xdr:clientData/>
  </xdr:oneCellAnchor>
  <xdr:oneCellAnchor>
    <xdr:from>
      <xdr:col>16</xdr:col>
      <xdr:colOff>290874</xdr:colOff>
      <xdr:row>279</xdr:row>
      <xdr:rowOff>295275</xdr:rowOff>
    </xdr:from>
    <xdr:ext cx="1581919" cy="337797"/>
    <xdr:pic>
      <xdr:nvPicPr>
        <xdr:cNvPr id="36" name="Imagen 35">
          <a:extLst>
            <a:ext uri="{FF2B5EF4-FFF2-40B4-BE49-F238E27FC236}">
              <a16:creationId xmlns:a16="http://schemas.microsoft.com/office/drawing/2014/main" id="{715AD5CA-0AC9-4B8A-AB36-29DF0CA4B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5026" y="32995014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279</xdr:row>
      <xdr:rowOff>229795</xdr:rowOff>
    </xdr:from>
    <xdr:ext cx="1308711" cy="430657"/>
    <xdr:pic>
      <xdr:nvPicPr>
        <xdr:cNvPr id="37" name="Imagen 36">
          <a:extLst>
            <a:ext uri="{FF2B5EF4-FFF2-40B4-BE49-F238E27FC236}">
              <a16:creationId xmlns:a16="http://schemas.microsoft.com/office/drawing/2014/main" id="{18D3C160-2F93-4DA8-B710-C386293BF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68736" y="32929534"/>
          <a:ext cx="1308711" cy="430657"/>
        </a:xfrm>
        <a:prstGeom prst="rect">
          <a:avLst/>
        </a:prstGeom>
      </xdr:spPr>
    </xdr:pic>
    <xdr:clientData/>
  </xdr:oneCellAnchor>
  <xdr:oneCellAnchor>
    <xdr:from>
      <xdr:col>14</xdr:col>
      <xdr:colOff>241178</xdr:colOff>
      <xdr:row>343</xdr:row>
      <xdr:rowOff>328618</xdr:rowOff>
    </xdr:from>
    <xdr:ext cx="1581919" cy="337797"/>
    <xdr:pic>
      <xdr:nvPicPr>
        <xdr:cNvPr id="45" name="Imagen 44">
          <a:extLst>
            <a:ext uri="{FF2B5EF4-FFF2-40B4-BE49-F238E27FC236}">
              <a16:creationId xmlns:a16="http://schemas.microsoft.com/office/drawing/2014/main" id="{36F6F384-7EA1-4BB6-8266-59A00F40F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0178" y="63868306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195411</xdr:colOff>
      <xdr:row>343</xdr:row>
      <xdr:rowOff>293297</xdr:rowOff>
    </xdr:from>
    <xdr:ext cx="1308711" cy="430657"/>
    <xdr:pic>
      <xdr:nvPicPr>
        <xdr:cNvPr id="46" name="Imagen 45">
          <a:extLst>
            <a:ext uri="{FF2B5EF4-FFF2-40B4-BE49-F238E27FC236}">
              <a16:creationId xmlns:a16="http://schemas.microsoft.com/office/drawing/2014/main" id="{51313DC7-549B-4D40-A526-D9B08874A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65286" y="63832985"/>
          <a:ext cx="1308711" cy="430657"/>
        </a:xfrm>
        <a:prstGeom prst="rect">
          <a:avLst/>
        </a:prstGeom>
      </xdr:spPr>
    </xdr:pic>
    <xdr:clientData/>
  </xdr:oneCellAnchor>
  <xdr:oneCellAnchor>
    <xdr:from>
      <xdr:col>14</xdr:col>
      <xdr:colOff>224613</xdr:colOff>
      <xdr:row>307</xdr:row>
      <xdr:rowOff>311564</xdr:rowOff>
    </xdr:from>
    <xdr:ext cx="1581919" cy="337797"/>
    <xdr:pic>
      <xdr:nvPicPr>
        <xdr:cNvPr id="48" name="Imagen 47">
          <a:extLst>
            <a:ext uri="{FF2B5EF4-FFF2-40B4-BE49-F238E27FC236}">
              <a16:creationId xmlns:a16="http://schemas.microsoft.com/office/drawing/2014/main" id="{B48E7FE3-852B-83E0-D2AE-B9716DAA3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5363" y="55956614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120867</xdr:colOff>
      <xdr:row>307</xdr:row>
      <xdr:rowOff>296884</xdr:rowOff>
    </xdr:from>
    <xdr:ext cx="1308711" cy="430657"/>
    <xdr:pic>
      <xdr:nvPicPr>
        <xdr:cNvPr id="49" name="Imagen 48">
          <a:extLst>
            <a:ext uri="{FF2B5EF4-FFF2-40B4-BE49-F238E27FC236}">
              <a16:creationId xmlns:a16="http://schemas.microsoft.com/office/drawing/2014/main" id="{21792F64-68CA-CFDE-6FFF-76B6F8290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3917" y="55941934"/>
          <a:ext cx="1308711" cy="430657"/>
        </a:xfrm>
        <a:prstGeom prst="rect">
          <a:avLst/>
        </a:prstGeom>
      </xdr:spPr>
    </xdr:pic>
    <xdr:clientData/>
  </xdr:oneCellAnchor>
  <xdr:oneCellAnchor>
    <xdr:from>
      <xdr:col>16</xdr:col>
      <xdr:colOff>290874</xdr:colOff>
      <xdr:row>199</xdr:row>
      <xdr:rowOff>339725</xdr:rowOff>
    </xdr:from>
    <xdr:ext cx="1581919" cy="337797"/>
    <xdr:pic>
      <xdr:nvPicPr>
        <xdr:cNvPr id="3" name="Imagen 2">
          <a:extLst>
            <a:ext uri="{FF2B5EF4-FFF2-40B4-BE49-F238E27FC236}">
              <a16:creationId xmlns:a16="http://schemas.microsoft.com/office/drawing/2014/main" id="{AFF2A3DE-8FF2-40FD-8B61-C440FFE37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8224" y="3466782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199</xdr:row>
      <xdr:rowOff>274245</xdr:rowOff>
    </xdr:from>
    <xdr:ext cx="1308711" cy="430657"/>
    <xdr:pic>
      <xdr:nvPicPr>
        <xdr:cNvPr id="4" name="Imagen 3">
          <a:extLst>
            <a:ext uri="{FF2B5EF4-FFF2-40B4-BE49-F238E27FC236}">
              <a16:creationId xmlns:a16="http://schemas.microsoft.com/office/drawing/2014/main" id="{E6413060-DC95-4FF5-A293-E4F0F06769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34602345"/>
          <a:ext cx="1308711" cy="430657"/>
        </a:xfrm>
        <a:prstGeom prst="rect">
          <a:avLst/>
        </a:prstGeom>
      </xdr:spPr>
    </xdr:pic>
    <xdr:clientData/>
  </xdr:oneCellAnchor>
  <xdr:oneCellAnchor>
    <xdr:from>
      <xdr:col>16</xdr:col>
      <xdr:colOff>290874</xdr:colOff>
      <xdr:row>220</xdr:row>
      <xdr:rowOff>295275</xdr:rowOff>
    </xdr:from>
    <xdr:ext cx="1581919" cy="337797"/>
    <xdr:pic>
      <xdr:nvPicPr>
        <xdr:cNvPr id="16" name="Imagen 15">
          <a:extLst>
            <a:ext uri="{FF2B5EF4-FFF2-40B4-BE49-F238E27FC236}">
              <a16:creationId xmlns:a16="http://schemas.microsoft.com/office/drawing/2014/main" id="{FD3A9BAD-CE78-4C79-8C32-52AD8B46B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8224" y="4081462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220</xdr:row>
      <xdr:rowOff>229795</xdr:rowOff>
    </xdr:from>
    <xdr:ext cx="1308711" cy="430657"/>
    <xdr:pic>
      <xdr:nvPicPr>
        <xdr:cNvPr id="17" name="Imagen 16">
          <a:extLst>
            <a:ext uri="{FF2B5EF4-FFF2-40B4-BE49-F238E27FC236}">
              <a16:creationId xmlns:a16="http://schemas.microsoft.com/office/drawing/2014/main" id="{032BF055-C5CE-4243-9A70-7BB0BC260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40749145"/>
          <a:ext cx="1308711" cy="430657"/>
        </a:xfrm>
        <a:prstGeom prst="rect">
          <a:avLst/>
        </a:prstGeom>
      </xdr:spPr>
    </xdr:pic>
    <xdr:clientData/>
  </xdr:oneCellAnchor>
  <xdr:oneCellAnchor>
    <xdr:from>
      <xdr:col>11</xdr:col>
      <xdr:colOff>250011</xdr:colOff>
      <xdr:row>370</xdr:row>
      <xdr:rowOff>296868</xdr:rowOff>
    </xdr:from>
    <xdr:ext cx="1581919" cy="337797"/>
    <xdr:pic>
      <xdr:nvPicPr>
        <xdr:cNvPr id="14" name="Imagen 13">
          <a:extLst>
            <a:ext uri="{FF2B5EF4-FFF2-40B4-BE49-F238E27FC236}">
              <a16:creationId xmlns:a16="http://schemas.microsoft.com/office/drawing/2014/main" id="{E52AD135-F028-49C9-9C73-DF301090E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3636" y="68718118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120867</xdr:colOff>
      <xdr:row>370</xdr:row>
      <xdr:rowOff>269488</xdr:rowOff>
    </xdr:from>
    <xdr:ext cx="1308711" cy="430657"/>
    <xdr:pic>
      <xdr:nvPicPr>
        <xdr:cNvPr id="15" name="Imagen 14">
          <a:extLst>
            <a:ext uri="{FF2B5EF4-FFF2-40B4-BE49-F238E27FC236}">
              <a16:creationId xmlns:a16="http://schemas.microsoft.com/office/drawing/2014/main" id="{C4978448-4A65-4BFA-8466-07F2F77613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0742" y="68690738"/>
          <a:ext cx="1308711" cy="430657"/>
        </a:xfrm>
        <a:prstGeom prst="rect">
          <a:avLst/>
        </a:prstGeom>
      </xdr:spPr>
    </xdr:pic>
    <xdr:clientData/>
  </xdr:oneCellAnchor>
  <xdr:oneCellAnchor>
    <xdr:from>
      <xdr:col>11</xdr:col>
      <xdr:colOff>250011</xdr:colOff>
      <xdr:row>380</xdr:row>
      <xdr:rowOff>296864</xdr:rowOff>
    </xdr:from>
    <xdr:ext cx="1581919" cy="337797"/>
    <xdr:pic>
      <xdr:nvPicPr>
        <xdr:cNvPr id="20" name="Imagen 19">
          <a:extLst>
            <a:ext uri="{FF2B5EF4-FFF2-40B4-BE49-F238E27FC236}">
              <a16:creationId xmlns:a16="http://schemas.microsoft.com/office/drawing/2014/main" id="{FD5BFC36-7504-4BAB-BBC8-CB4B82B0D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3636" y="72512239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120867</xdr:colOff>
      <xdr:row>380</xdr:row>
      <xdr:rowOff>277430</xdr:rowOff>
    </xdr:from>
    <xdr:ext cx="1308711" cy="430657"/>
    <xdr:pic>
      <xdr:nvPicPr>
        <xdr:cNvPr id="21" name="Imagen 20">
          <a:extLst>
            <a:ext uri="{FF2B5EF4-FFF2-40B4-BE49-F238E27FC236}">
              <a16:creationId xmlns:a16="http://schemas.microsoft.com/office/drawing/2014/main" id="{8E98B34C-B2B6-42CA-AF48-B1D46AC2E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0742" y="72492805"/>
          <a:ext cx="1308711" cy="43065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265474</xdr:colOff>
      <xdr:row>0</xdr:row>
      <xdr:rowOff>295275</xdr:rowOff>
    </xdr:from>
    <xdr:to>
      <xdr:col>23</xdr:col>
      <xdr:colOff>60282</xdr:colOff>
      <xdr:row>1</xdr:row>
      <xdr:rowOff>136115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463B36-3768-4F78-A2EE-B923395BF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1874" y="295275"/>
          <a:ext cx="1452158" cy="336140"/>
        </a:xfrm>
        <a:prstGeom prst="rect">
          <a:avLst/>
        </a:prstGeom>
      </xdr:spPr>
    </xdr:pic>
    <xdr:clientData/>
  </xdr:twoCellAnchor>
  <xdr:twoCellAnchor editAs="oneCell">
    <xdr:from>
      <xdr:col>1</xdr:col>
      <xdr:colOff>220258</xdr:colOff>
      <xdr:row>0</xdr:row>
      <xdr:rowOff>229795</xdr:rowOff>
    </xdr:from>
    <xdr:to>
      <xdr:col>2</xdr:col>
      <xdr:colOff>1221014</xdr:colOff>
      <xdr:row>1</xdr:row>
      <xdr:rowOff>160320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9C158EA-1E5D-41A4-BA89-B77177C8E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229795"/>
          <a:ext cx="1286506" cy="425825"/>
        </a:xfrm>
        <a:prstGeom prst="rect">
          <a:avLst/>
        </a:prstGeom>
      </xdr:spPr>
    </xdr:pic>
    <xdr:clientData/>
  </xdr:twoCellAnchor>
  <xdr:oneCellAnchor>
    <xdr:from>
      <xdr:col>19</xdr:col>
      <xdr:colOff>183195</xdr:colOff>
      <xdr:row>52</xdr:row>
      <xdr:rowOff>295275</xdr:rowOff>
    </xdr:from>
    <xdr:ext cx="1581919" cy="337797"/>
    <xdr:pic>
      <xdr:nvPicPr>
        <xdr:cNvPr id="4" name="Imagen 3">
          <a:extLst>
            <a:ext uri="{FF2B5EF4-FFF2-40B4-BE49-F238E27FC236}">
              <a16:creationId xmlns:a16="http://schemas.microsoft.com/office/drawing/2014/main" id="{CEC77378-0E52-4F77-AA10-AF0B2809C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9595" y="918527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52</xdr:row>
      <xdr:rowOff>229795</xdr:rowOff>
    </xdr:from>
    <xdr:ext cx="1308711" cy="430657"/>
    <xdr:pic>
      <xdr:nvPicPr>
        <xdr:cNvPr id="5" name="Imagen 4">
          <a:extLst>
            <a:ext uri="{FF2B5EF4-FFF2-40B4-BE49-F238E27FC236}">
              <a16:creationId xmlns:a16="http://schemas.microsoft.com/office/drawing/2014/main" id="{3153469E-23C6-4D00-ACCF-8690A27AC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911979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137439</xdr:colOff>
      <xdr:row>108</xdr:row>
      <xdr:rowOff>295275</xdr:rowOff>
    </xdr:from>
    <xdr:ext cx="1581919" cy="337797"/>
    <xdr:pic>
      <xdr:nvPicPr>
        <xdr:cNvPr id="6" name="Imagen 5">
          <a:extLst>
            <a:ext uri="{FF2B5EF4-FFF2-40B4-BE49-F238E27FC236}">
              <a16:creationId xmlns:a16="http://schemas.microsoft.com/office/drawing/2014/main" id="{4CAE6B8F-9B07-4D69-A5F0-2A99B25CB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3839" y="1856422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108</xdr:row>
      <xdr:rowOff>229795</xdr:rowOff>
    </xdr:from>
    <xdr:ext cx="1308711" cy="430657"/>
    <xdr:pic>
      <xdr:nvPicPr>
        <xdr:cNvPr id="7" name="Imagen 6">
          <a:extLst>
            <a:ext uri="{FF2B5EF4-FFF2-40B4-BE49-F238E27FC236}">
              <a16:creationId xmlns:a16="http://schemas.microsoft.com/office/drawing/2014/main" id="{CB0D9081-AC3B-4A06-9124-B3FDEF07A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1849874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159532</xdr:colOff>
      <xdr:row>241</xdr:row>
      <xdr:rowOff>295275</xdr:rowOff>
    </xdr:from>
    <xdr:ext cx="1581919" cy="337797"/>
    <xdr:pic>
      <xdr:nvPicPr>
        <xdr:cNvPr id="8" name="Imagen 7">
          <a:extLst>
            <a:ext uri="{FF2B5EF4-FFF2-40B4-BE49-F238E27FC236}">
              <a16:creationId xmlns:a16="http://schemas.microsoft.com/office/drawing/2014/main" id="{C4CFBDD2-A158-4122-B501-4422DE146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55932" y="4167822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241</xdr:row>
      <xdr:rowOff>229795</xdr:rowOff>
    </xdr:from>
    <xdr:ext cx="1308711" cy="430657"/>
    <xdr:pic>
      <xdr:nvPicPr>
        <xdr:cNvPr id="9" name="Imagen 8">
          <a:extLst>
            <a:ext uri="{FF2B5EF4-FFF2-40B4-BE49-F238E27FC236}">
              <a16:creationId xmlns:a16="http://schemas.microsoft.com/office/drawing/2014/main" id="{182DBE91-C655-42B1-B59A-34AAA95A3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4161274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181619</xdr:colOff>
      <xdr:row>253</xdr:row>
      <xdr:rowOff>295275</xdr:rowOff>
    </xdr:from>
    <xdr:ext cx="1581919" cy="337797"/>
    <xdr:pic>
      <xdr:nvPicPr>
        <xdr:cNvPr id="10" name="Imagen 9">
          <a:extLst>
            <a:ext uri="{FF2B5EF4-FFF2-40B4-BE49-F238E27FC236}">
              <a16:creationId xmlns:a16="http://schemas.microsoft.com/office/drawing/2014/main" id="{7EECEBC2-45C9-41E1-B103-D8A03B9FC6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8019" y="4422457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253</xdr:row>
      <xdr:rowOff>229795</xdr:rowOff>
    </xdr:from>
    <xdr:ext cx="1308711" cy="430657"/>
    <xdr:pic>
      <xdr:nvPicPr>
        <xdr:cNvPr id="11" name="Imagen 10">
          <a:extLst>
            <a:ext uri="{FF2B5EF4-FFF2-40B4-BE49-F238E27FC236}">
              <a16:creationId xmlns:a16="http://schemas.microsoft.com/office/drawing/2014/main" id="{0539B592-8402-4E17-B792-82E56D3E7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4415909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122456</xdr:colOff>
      <xdr:row>266</xdr:row>
      <xdr:rowOff>295275</xdr:rowOff>
    </xdr:from>
    <xdr:ext cx="1581919" cy="337797"/>
    <xdr:pic>
      <xdr:nvPicPr>
        <xdr:cNvPr id="12" name="Imagen 11">
          <a:extLst>
            <a:ext uri="{FF2B5EF4-FFF2-40B4-BE49-F238E27FC236}">
              <a16:creationId xmlns:a16="http://schemas.microsoft.com/office/drawing/2014/main" id="{7AB0826F-3295-4B30-AEE4-5C732CC29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8856" y="4743767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266</xdr:row>
      <xdr:rowOff>229795</xdr:rowOff>
    </xdr:from>
    <xdr:ext cx="1308711" cy="430657"/>
    <xdr:pic>
      <xdr:nvPicPr>
        <xdr:cNvPr id="13" name="Imagen 12">
          <a:extLst>
            <a:ext uri="{FF2B5EF4-FFF2-40B4-BE49-F238E27FC236}">
              <a16:creationId xmlns:a16="http://schemas.microsoft.com/office/drawing/2014/main" id="{1DBD3DC2-3788-42B6-984F-3000D9F0C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47372195"/>
          <a:ext cx="1308711" cy="430657"/>
        </a:xfrm>
        <a:prstGeom prst="rect">
          <a:avLst/>
        </a:prstGeom>
      </xdr:spPr>
    </xdr:pic>
    <xdr:clientData/>
  </xdr:oneCellAnchor>
  <xdr:oneCellAnchor>
    <xdr:from>
      <xdr:col>16</xdr:col>
      <xdr:colOff>152590</xdr:colOff>
      <xdr:row>295</xdr:row>
      <xdr:rowOff>295275</xdr:rowOff>
    </xdr:from>
    <xdr:ext cx="1581919" cy="337797"/>
    <xdr:pic>
      <xdr:nvPicPr>
        <xdr:cNvPr id="14" name="Imagen 13">
          <a:extLst>
            <a:ext uri="{FF2B5EF4-FFF2-40B4-BE49-F238E27FC236}">
              <a16:creationId xmlns:a16="http://schemas.microsoft.com/office/drawing/2014/main" id="{0DCBB6F7-83E1-48C7-A90B-7E738F42F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5515" y="5313997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295</xdr:row>
      <xdr:rowOff>229795</xdr:rowOff>
    </xdr:from>
    <xdr:ext cx="1308711" cy="430657"/>
    <xdr:pic>
      <xdr:nvPicPr>
        <xdr:cNvPr id="15" name="Imagen 14">
          <a:extLst>
            <a:ext uri="{FF2B5EF4-FFF2-40B4-BE49-F238E27FC236}">
              <a16:creationId xmlns:a16="http://schemas.microsoft.com/office/drawing/2014/main" id="{90C1057A-752B-4DB1-8B77-920F9345C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5337929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125214</xdr:colOff>
      <xdr:row>325</xdr:row>
      <xdr:rowOff>295275</xdr:rowOff>
    </xdr:from>
    <xdr:ext cx="1581919" cy="337797"/>
    <xdr:pic>
      <xdr:nvPicPr>
        <xdr:cNvPr id="16" name="Imagen 15">
          <a:extLst>
            <a:ext uri="{FF2B5EF4-FFF2-40B4-BE49-F238E27FC236}">
              <a16:creationId xmlns:a16="http://schemas.microsoft.com/office/drawing/2014/main" id="{6BC45439-7328-4D66-AA4B-8A24A59E0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1614" y="6152197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120867</xdr:colOff>
      <xdr:row>325</xdr:row>
      <xdr:rowOff>229795</xdr:rowOff>
    </xdr:from>
    <xdr:ext cx="1308711" cy="430657"/>
    <xdr:pic>
      <xdr:nvPicPr>
        <xdr:cNvPr id="17" name="Imagen 16">
          <a:extLst>
            <a:ext uri="{FF2B5EF4-FFF2-40B4-BE49-F238E27FC236}">
              <a16:creationId xmlns:a16="http://schemas.microsoft.com/office/drawing/2014/main" id="{31ACBF9F-E5FA-47F1-890C-B1F4DE086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3917" y="6145649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158740</xdr:colOff>
      <xdr:row>345</xdr:row>
      <xdr:rowOff>295275</xdr:rowOff>
    </xdr:from>
    <xdr:ext cx="1581919" cy="337797"/>
    <xdr:pic>
      <xdr:nvPicPr>
        <xdr:cNvPr id="18" name="Imagen 17">
          <a:extLst>
            <a:ext uri="{FF2B5EF4-FFF2-40B4-BE49-F238E27FC236}">
              <a16:creationId xmlns:a16="http://schemas.microsoft.com/office/drawing/2014/main" id="{779EA8FC-4950-4DEB-BE7C-4966B9CC89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55140" y="6821487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120867</xdr:colOff>
      <xdr:row>345</xdr:row>
      <xdr:rowOff>229795</xdr:rowOff>
    </xdr:from>
    <xdr:ext cx="1308711" cy="430657"/>
    <xdr:pic>
      <xdr:nvPicPr>
        <xdr:cNvPr id="19" name="Imagen 18">
          <a:extLst>
            <a:ext uri="{FF2B5EF4-FFF2-40B4-BE49-F238E27FC236}">
              <a16:creationId xmlns:a16="http://schemas.microsoft.com/office/drawing/2014/main" id="{336C0CC2-D6D6-4E5F-937D-C7CBBDF345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3917" y="6814939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131917</xdr:colOff>
      <xdr:row>280</xdr:row>
      <xdr:rowOff>295275</xdr:rowOff>
    </xdr:from>
    <xdr:ext cx="1581919" cy="337797"/>
    <xdr:pic>
      <xdr:nvPicPr>
        <xdr:cNvPr id="20" name="Imagen 19">
          <a:extLst>
            <a:ext uri="{FF2B5EF4-FFF2-40B4-BE49-F238E27FC236}">
              <a16:creationId xmlns:a16="http://schemas.microsoft.com/office/drawing/2014/main" id="{635D0267-2BB8-44C1-86E9-4C71E560B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8317" y="5035867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280</xdr:row>
      <xdr:rowOff>229795</xdr:rowOff>
    </xdr:from>
    <xdr:ext cx="1308711" cy="430657"/>
    <xdr:pic>
      <xdr:nvPicPr>
        <xdr:cNvPr id="21" name="Imagen 20">
          <a:extLst>
            <a:ext uri="{FF2B5EF4-FFF2-40B4-BE49-F238E27FC236}">
              <a16:creationId xmlns:a16="http://schemas.microsoft.com/office/drawing/2014/main" id="{BFCBE1E7-CA33-479F-80BF-5C9DE2DEE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50293195"/>
          <a:ext cx="1308711" cy="430657"/>
        </a:xfrm>
        <a:prstGeom prst="rect">
          <a:avLst/>
        </a:prstGeom>
      </xdr:spPr>
    </xdr:pic>
    <xdr:clientData/>
  </xdr:oneCellAnchor>
  <xdr:oneCellAnchor>
    <xdr:from>
      <xdr:col>16</xdr:col>
      <xdr:colOff>171244</xdr:colOff>
      <xdr:row>305</xdr:row>
      <xdr:rowOff>292100</xdr:rowOff>
    </xdr:from>
    <xdr:ext cx="1581919" cy="337797"/>
    <xdr:pic>
      <xdr:nvPicPr>
        <xdr:cNvPr id="22" name="Imagen 21">
          <a:extLst>
            <a:ext uri="{FF2B5EF4-FFF2-40B4-BE49-F238E27FC236}">
              <a16:creationId xmlns:a16="http://schemas.microsoft.com/office/drawing/2014/main" id="{C6BBD5F1-1733-46A6-8C23-BEF7F62F6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4169" y="55403750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305</xdr:row>
      <xdr:rowOff>229795</xdr:rowOff>
    </xdr:from>
    <xdr:ext cx="1308711" cy="430657"/>
    <xdr:pic>
      <xdr:nvPicPr>
        <xdr:cNvPr id="23" name="Imagen 22">
          <a:extLst>
            <a:ext uri="{FF2B5EF4-FFF2-40B4-BE49-F238E27FC236}">
              <a16:creationId xmlns:a16="http://schemas.microsoft.com/office/drawing/2014/main" id="{3860179F-8DE5-4988-9018-F5F049D6C2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56135195"/>
          <a:ext cx="1308711" cy="430657"/>
        </a:xfrm>
        <a:prstGeom prst="rect">
          <a:avLst/>
        </a:prstGeom>
      </xdr:spPr>
    </xdr:pic>
    <xdr:clientData/>
  </xdr:oneCellAnchor>
  <xdr:oneCellAnchor>
    <xdr:from>
      <xdr:col>16</xdr:col>
      <xdr:colOff>149416</xdr:colOff>
      <xdr:row>315</xdr:row>
      <xdr:rowOff>295275</xdr:rowOff>
    </xdr:from>
    <xdr:ext cx="1581919" cy="337797"/>
    <xdr:pic>
      <xdr:nvPicPr>
        <xdr:cNvPr id="24" name="Imagen 23">
          <a:extLst>
            <a:ext uri="{FF2B5EF4-FFF2-40B4-BE49-F238E27FC236}">
              <a16:creationId xmlns:a16="http://schemas.microsoft.com/office/drawing/2014/main" id="{95248DF8-DF7F-4778-9998-CFC9E0449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2341" y="5767387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315</xdr:row>
      <xdr:rowOff>229795</xdr:rowOff>
    </xdr:from>
    <xdr:ext cx="1308711" cy="430657"/>
    <xdr:pic>
      <xdr:nvPicPr>
        <xdr:cNvPr id="25" name="Imagen 24">
          <a:extLst>
            <a:ext uri="{FF2B5EF4-FFF2-40B4-BE49-F238E27FC236}">
              <a16:creationId xmlns:a16="http://schemas.microsoft.com/office/drawing/2014/main" id="{ACB46F25-B3F1-46F9-9DBB-7243515B8E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5887204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145720</xdr:colOff>
      <xdr:row>364</xdr:row>
      <xdr:rowOff>295275</xdr:rowOff>
    </xdr:from>
    <xdr:ext cx="1581919" cy="337797"/>
    <xdr:pic>
      <xdr:nvPicPr>
        <xdr:cNvPr id="26" name="Imagen 25">
          <a:extLst>
            <a:ext uri="{FF2B5EF4-FFF2-40B4-BE49-F238E27FC236}">
              <a16:creationId xmlns:a16="http://schemas.microsoft.com/office/drawing/2014/main" id="{774BE27A-2791-4EB1-94B4-C1A42B45F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2120" y="7199947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195411</xdr:colOff>
      <xdr:row>364</xdr:row>
      <xdr:rowOff>229795</xdr:rowOff>
    </xdr:from>
    <xdr:ext cx="1308711" cy="430657"/>
    <xdr:pic>
      <xdr:nvPicPr>
        <xdr:cNvPr id="27" name="Imagen 26">
          <a:extLst>
            <a:ext uri="{FF2B5EF4-FFF2-40B4-BE49-F238E27FC236}">
              <a16:creationId xmlns:a16="http://schemas.microsoft.com/office/drawing/2014/main" id="{2D40A8BD-0980-4D4E-A368-1CE1F44588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68461" y="7193399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137439</xdr:colOff>
      <xdr:row>156</xdr:row>
      <xdr:rowOff>295275</xdr:rowOff>
    </xdr:from>
    <xdr:ext cx="1581919" cy="337797"/>
    <xdr:pic>
      <xdr:nvPicPr>
        <xdr:cNvPr id="30" name="Imagen 29">
          <a:extLst>
            <a:ext uri="{FF2B5EF4-FFF2-40B4-BE49-F238E27FC236}">
              <a16:creationId xmlns:a16="http://schemas.microsoft.com/office/drawing/2014/main" id="{DBD712C7-5FBD-40A6-A2B8-737DFBAA8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3839" y="2675572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156</xdr:row>
      <xdr:rowOff>229795</xdr:rowOff>
    </xdr:from>
    <xdr:ext cx="1308711" cy="430657"/>
    <xdr:pic>
      <xdr:nvPicPr>
        <xdr:cNvPr id="31" name="Imagen 30">
          <a:extLst>
            <a:ext uri="{FF2B5EF4-FFF2-40B4-BE49-F238E27FC236}">
              <a16:creationId xmlns:a16="http://schemas.microsoft.com/office/drawing/2014/main" id="{D7F34B49-38BA-40C1-A191-4B4F9445F5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2669024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201866</xdr:colOff>
      <xdr:row>213</xdr:row>
      <xdr:rowOff>295275</xdr:rowOff>
    </xdr:from>
    <xdr:ext cx="1581919" cy="337797"/>
    <xdr:pic>
      <xdr:nvPicPr>
        <xdr:cNvPr id="32" name="Imagen 31">
          <a:extLst>
            <a:ext uri="{FF2B5EF4-FFF2-40B4-BE49-F238E27FC236}">
              <a16:creationId xmlns:a16="http://schemas.microsoft.com/office/drawing/2014/main" id="{3FDD3A5A-C6CA-4B33-9E65-38D2AD403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98266" y="3589972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213</xdr:row>
      <xdr:rowOff>229795</xdr:rowOff>
    </xdr:from>
    <xdr:ext cx="1308711" cy="430657"/>
    <xdr:pic>
      <xdr:nvPicPr>
        <xdr:cNvPr id="33" name="Imagen 32">
          <a:extLst>
            <a:ext uri="{FF2B5EF4-FFF2-40B4-BE49-F238E27FC236}">
              <a16:creationId xmlns:a16="http://schemas.microsoft.com/office/drawing/2014/main" id="{B5476DE2-EE37-4591-99F4-8559398BA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3583424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201866</xdr:colOff>
      <xdr:row>226</xdr:row>
      <xdr:rowOff>295275</xdr:rowOff>
    </xdr:from>
    <xdr:ext cx="1581919" cy="337797"/>
    <xdr:pic>
      <xdr:nvPicPr>
        <xdr:cNvPr id="34" name="Imagen 33">
          <a:extLst>
            <a:ext uri="{FF2B5EF4-FFF2-40B4-BE49-F238E27FC236}">
              <a16:creationId xmlns:a16="http://schemas.microsoft.com/office/drawing/2014/main" id="{B818B6EA-202B-44C5-A8DB-B59A26CC4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98266" y="3863657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226</xdr:row>
      <xdr:rowOff>229795</xdr:rowOff>
    </xdr:from>
    <xdr:ext cx="1308711" cy="430657"/>
    <xdr:pic>
      <xdr:nvPicPr>
        <xdr:cNvPr id="35" name="Imagen 34">
          <a:extLst>
            <a:ext uri="{FF2B5EF4-FFF2-40B4-BE49-F238E27FC236}">
              <a16:creationId xmlns:a16="http://schemas.microsoft.com/office/drawing/2014/main" id="{4915BBD2-DEDD-48B8-8C74-533772C88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3857109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167546</xdr:colOff>
      <xdr:row>381</xdr:row>
      <xdr:rowOff>295275</xdr:rowOff>
    </xdr:from>
    <xdr:ext cx="1581919" cy="337797"/>
    <xdr:pic>
      <xdr:nvPicPr>
        <xdr:cNvPr id="36" name="Imagen 35">
          <a:extLst>
            <a:ext uri="{FF2B5EF4-FFF2-40B4-BE49-F238E27FC236}">
              <a16:creationId xmlns:a16="http://schemas.microsoft.com/office/drawing/2014/main" id="{B903C8CF-A25E-48E1-9702-6DBBE6A11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3946" y="7573327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237283</xdr:colOff>
      <xdr:row>381</xdr:row>
      <xdr:rowOff>229795</xdr:rowOff>
    </xdr:from>
    <xdr:ext cx="1308711" cy="430657"/>
    <xdr:pic>
      <xdr:nvPicPr>
        <xdr:cNvPr id="37" name="Imagen 36">
          <a:extLst>
            <a:ext uri="{FF2B5EF4-FFF2-40B4-BE49-F238E27FC236}">
              <a16:creationId xmlns:a16="http://schemas.microsoft.com/office/drawing/2014/main" id="{CD971972-40C9-4105-B146-92DEC8A21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0333" y="7566779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167546</xdr:colOff>
      <xdr:row>392</xdr:row>
      <xdr:rowOff>295275</xdr:rowOff>
    </xdr:from>
    <xdr:ext cx="1581919" cy="337797"/>
    <xdr:pic>
      <xdr:nvPicPr>
        <xdr:cNvPr id="38" name="Imagen 37">
          <a:extLst>
            <a:ext uri="{FF2B5EF4-FFF2-40B4-BE49-F238E27FC236}">
              <a16:creationId xmlns:a16="http://schemas.microsoft.com/office/drawing/2014/main" id="{1F852A21-2AA9-4B8C-8FCB-970522C8C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3946" y="7824152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237283</xdr:colOff>
      <xdr:row>392</xdr:row>
      <xdr:rowOff>229795</xdr:rowOff>
    </xdr:from>
    <xdr:ext cx="1308711" cy="430657"/>
    <xdr:pic>
      <xdr:nvPicPr>
        <xdr:cNvPr id="39" name="Imagen 38">
          <a:extLst>
            <a:ext uri="{FF2B5EF4-FFF2-40B4-BE49-F238E27FC236}">
              <a16:creationId xmlns:a16="http://schemas.microsoft.com/office/drawing/2014/main" id="{EC65C313-F213-4DCF-8110-317A69E20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0333" y="7817604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167546</xdr:colOff>
      <xdr:row>406</xdr:row>
      <xdr:rowOff>295275</xdr:rowOff>
    </xdr:from>
    <xdr:ext cx="1581919" cy="337797"/>
    <xdr:pic>
      <xdr:nvPicPr>
        <xdr:cNvPr id="40" name="Imagen 39">
          <a:extLst>
            <a:ext uri="{FF2B5EF4-FFF2-40B4-BE49-F238E27FC236}">
              <a16:creationId xmlns:a16="http://schemas.microsoft.com/office/drawing/2014/main" id="{B5DE91F9-57DC-4FC6-B55D-F1242C7F86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3946" y="8117522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237283</xdr:colOff>
      <xdr:row>406</xdr:row>
      <xdr:rowOff>229795</xdr:rowOff>
    </xdr:from>
    <xdr:ext cx="1308711" cy="430657"/>
    <xdr:pic>
      <xdr:nvPicPr>
        <xdr:cNvPr id="41" name="Imagen 40">
          <a:extLst>
            <a:ext uri="{FF2B5EF4-FFF2-40B4-BE49-F238E27FC236}">
              <a16:creationId xmlns:a16="http://schemas.microsoft.com/office/drawing/2014/main" id="{987ADB0E-2AB9-49B6-9470-1C766A169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0333" y="8110974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167546</xdr:colOff>
      <xdr:row>418</xdr:row>
      <xdr:rowOff>295275</xdr:rowOff>
    </xdr:from>
    <xdr:ext cx="1581919" cy="337797"/>
    <xdr:pic>
      <xdr:nvPicPr>
        <xdr:cNvPr id="42" name="Imagen 41">
          <a:extLst>
            <a:ext uri="{FF2B5EF4-FFF2-40B4-BE49-F238E27FC236}">
              <a16:creationId xmlns:a16="http://schemas.microsoft.com/office/drawing/2014/main" id="{5292D8F8-0E4F-4C91-9932-BB7EEE43D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3946" y="8373427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237283</xdr:colOff>
      <xdr:row>418</xdr:row>
      <xdr:rowOff>229795</xdr:rowOff>
    </xdr:from>
    <xdr:ext cx="1308711" cy="430657"/>
    <xdr:pic>
      <xdr:nvPicPr>
        <xdr:cNvPr id="43" name="Imagen 42">
          <a:extLst>
            <a:ext uri="{FF2B5EF4-FFF2-40B4-BE49-F238E27FC236}">
              <a16:creationId xmlns:a16="http://schemas.microsoft.com/office/drawing/2014/main" id="{2D7322AE-BF21-4E39-8907-828F107E8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0333" y="8366879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125214</xdr:colOff>
      <xdr:row>335</xdr:row>
      <xdr:rowOff>295275</xdr:rowOff>
    </xdr:from>
    <xdr:ext cx="1581919" cy="337797"/>
    <xdr:pic>
      <xdr:nvPicPr>
        <xdr:cNvPr id="44" name="Imagen 43">
          <a:extLst>
            <a:ext uri="{FF2B5EF4-FFF2-40B4-BE49-F238E27FC236}">
              <a16:creationId xmlns:a16="http://schemas.microsoft.com/office/drawing/2014/main" id="{7A3A900D-58DD-4014-9F0D-95F2449B1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1614" y="6384607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120867</xdr:colOff>
      <xdr:row>335</xdr:row>
      <xdr:rowOff>229795</xdr:rowOff>
    </xdr:from>
    <xdr:ext cx="1308711" cy="430657"/>
    <xdr:pic>
      <xdr:nvPicPr>
        <xdr:cNvPr id="45" name="Imagen 44">
          <a:extLst>
            <a:ext uri="{FF2B5EF4-FFF2-40B4-BE49-F238E27FC236}">
              <a16:creationId xmlns:a16="http://schemas.microsoft.com/office/drawing/2014/main" id="{7A3D0182-6E36-43E0-9FB2-0C92F231C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3917" y="63780595"/>
          <a:ext cx="1308711" cy="430657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265474</xdr:colOff>
      <xdr:row>0</xdr:row>
      <xdr:rowOff>295275</xdr:rowOff>
    </xdr:from>
    <xdr:to>
      <xdr:col>23</xdr:col>
      <xdr:colOff>60282</xdr:colOff>
      <xdr:row>1</xdr:row>
      <xdr:rowOff>136115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D0EFFED-E51D-4835-80AE-B3A06D821D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1874" y="295275"/>
          <a:ext cx="1452158" cy="336140"/>
        </a:xfrm>
        <a:prstGeom prst="rect">
          <a:avLst/>
        </a:prstGeom>
      </xdr:spPr>
    </xdr:pic>
    <xdr:clientData/>
  </xdr:twoCellAnchor>
  <xdr:twoCellAnchor editAs="oneCell">
    <xdr:from>
      <xdr:col>1</xdr:col>
      <xdr:colOff>220258</xdr:colOff>
      <xdr:row>0</xdr:row>
      <xdr:rowOff>229795</xdr:rowOff>
    </xdr:from>
    <xdr:to>
      <xdr:col>2</xdr:col>
      <xdr:colOff>1221014</xdr:colOff>
      <xdr:row>1</xdr:row>
      <xdr:rowOff>160320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59A5ED5-7133-4903-A9B1-C7C1D3361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229795"/>
          <a:ext cx="1286506" cy="425825"/>
        </a:xfrm>
        <a:prstGeom prst="rect">
          <a:avLst/>
        </a:prstGeom>
      </xdr:spPr>
    </xdr:pic>
    <xdr:clientData/>
  </xdr:twoCellAnchor>
  <xdr:oneCellAnchor>
    <xdr:from>
      <xdr:col>19</xdr:col>
      <xdr:colOff>183195</xdr:colOff>
      <xdr:row>46</xdr:row>
      <xdr:rowOff>295275</xdr:rowOff>
    </xdr:from>
    <xdr:ext cx="1581919" cy="337797"/>
    <xdr:pic>
      <xdr:nvPicPr>
        <xdr:cNvPr id="4" name="Imagen 3">
          <a:extLst>
            <a:ext uri="{FF2B5EF4-FFF2-40B4-BE49-F238E27FC236}">
              <a16:creationId xmlns:a16="http://schemas.microsoft.com/office/drawing/2014/main" id="{2A14E62A-21BA-4641-85D0-C91B5450D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9595" y="835977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46</xdr:row>
      <xdr:rowOff>229795</xdr:rowOff>
    </xdr:from>
    <xdr:ext cx="1308711" cy="430657"/>
    <xdr:pic>
      <xdr:nvPicPr>
        <xdr:cNvPr id="5" name="Imagen 4">
          <a:extLst>
            <a:ext uri="{FF2B5EF4-FFF2-40B4-BE49-F238E27FC236}">
              <a16:creationId xmlns:a16="http://schemas.microsoft.com/office/drawing/2014/main" id="{FCCD9CD5-A263-48AB-A419-03594CDB6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829429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137439</xdr:colOff>
      <xdr:row>96</xdr:row>
      <xdr:rowOff>295275</xdr:rowOff>
    </xdr:from>
    <xdr:ext cx="1581919" cy="337797"/>
    <xdr:pic>
      <xdr:nvPicPr>
        <xdr:cNvPr id="6" name="Imagen 5">
          <a:extLst>
            <a:ext uri="{FF2B5EF4-FFF2-40B4-BE49-F238E27FC236}">
              <a16:creationId xmlns:a16="http://schemas.microsoft.com/office/drawing/2014/main" id="{E50D3CE5-BE5F-4CDC-B447-5B1627C85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3839" y="1710372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96</xdr:row>
      <xdr:rowOff>229795</xdr:rowOff>
    </xdr:from>
    <xdr:ext cx="1308711" cy="430657"/>
    <xdr:pic>
      <xdr:nvPicPr>
        <xdr:cNvPr id="7" name="Imagen 6">
          <a:extLst>
            <a:ext uri="{FF2B5EF4-FFF2-40B4-BE49-F238E27FC236}">
              <a16:creationId xmlns:a16="http://schemas.microsoft.com/office/drawing/2014/main" id="{708A339A-2E9F-4BAB-B457-3884B9089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1703824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159532</xdr:colOff>
      <xdr:row>211</xdr:row>
      <xdr:rowOff>295275</xdr:rowOff>
    </xdr:from>
    <xdr:ext cx="1581919" cy="337797"/>
    <xdr:pic>
      <xdr:nvPicPr>
        <xdr:cNvPr id="8" name="Imagen 7">
          <a:extLst>
            <a:ext uri="{FF2B5EF4-FFF2-40B4-BE49-F238E27FC236}">
              <a16:creationId xmlns:a16="http://schemas.microsoft.com/office/drawing/2014/main" id="{AC1D7D7C-83F8-4084-8429-80286114B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55932" y="3750627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211</xdr:row>
      <xdr:rowOff>229795</xdr:rowOff>
    </xdr:from>
    <xdr:ext cx="1308711" cy="430657"/>
    <xdr:pic>
      <xdr:nvPicPr>
        <xdr:cNvPr id="9" name="Imagen 8">
          <a:extLst>
            <a:ext uri="{FF2B5EF4-FFF2-40B4-BE49-F238E27FC236}">
              <a16:creationId xmlns:a16="http://schemas.microsoft.com/office/drawing/2014/main" id="{AD97025C-01F3-427F-A940-9F76782BD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3744079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181619</xdr:colOff>
      <xdr:row>223</xdr:row>
      <xdr:rowOff>295275</xdr:rowOff>
    </xdr:from>
    <xdr:ext cx="1581919" cy="337797"/>
    <xdr:pic>
      <xdr:nvPicPr>
        <xdr:cNvPr id="10" name="Imagen 9">
          <a:extLst>
            <a:ext uri="{FF2B5EF4-FFF2-40B4-BE49-F238E27FC236}">
              <a16:creationId xmlns:a16="http://schemas.microsoft.com/office/drawing/2014/main" id="{E233B776-9AB2-4339-A13B-E6972C3F9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8019" y="4005262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223</xdr:row>
      <xdr:rowOff>229795</xdr:rowOff>
    </xdr:from>
    <xdr:ext cx="1308711" cy="430657"/>
    <xdr:pic>
      <xdr:nvPicPr>
        <xdr:cNvPr id="11" name="Imagen 10">
          <a:extLst>
            <a:ext uri="{FF2B5EF4-FFF2-40B4-BE49-F238E27FC236}">
              <a16:creationId xmlns:a16="http://schemas.microsoft.com/office/drawing/2014/main" id="{56D4AFF0-A566-4CFF-8103-22EC577195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3998714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122456</xdr:colOff>
      <xdr:row>236</xdr:row>
      <xdr:rowOff>295275</xdr:rowOff>
    </xdr:from>
    <xdr:ext cx="1581919" cy="337797"/>
    <xdr:pic>
      <xdr:nvPicPr>
        <xdr:cNvPr id="12" name="Imagen 11">
          <a:extLst>
            <a:ext uri="{FF2B5EF4-FFF2-40B4-BE49-F238E27FC236}">
              <a16:creationId xmlns:a16="http://schemas.microsoft.com/office/drawing/2014/main" id="{63FBC110-EF8F-4D60-82D8-DCD18BCA81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8856" y="4326572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236</xdr:row>
      <xdr:rowOff>229795</xdr:rowOff>
    </xdr:from>
    <xdr:ext cx="1308711" cy="430657"/>
    <xdr:pic>
      <xdr:nvPicPr>
        <xdr:cNvPr id="13" name="Imagen 12">
          <a:extLst>
            <a:ext uri="{FF2B5EF4-FFF2-40B4-BE49-F238E27FC236}">
              <a16:creationId xmlns:a16="http://schemas.microsoft.com/office/drawing/2014/main" id="{558F8864-30F8-4155-A167-B7C7A646D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4320024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127190</xdr:colOff>
      <xdr:row>265</xdr:row>
      <xdr:rowOff>295275</xdr:rowOff>
    </xdr:from>
    <xdr:ext cx="1581919" cy="337797"/>
    <xdr:pic>
      <xdr:nvPicPr>
        <xdr:cNvPr id="14" name="Imagen 13">
          <a:extLst>
            <a:ext uri="{FF2B5EF4-FFF2-40B4-BE49-F238E27FC236}">
              <a16:creationId xmlns:a16="http://schemas.microsoft.com/office/drawing/2014/main" id="{5C14025C-F745-4147-91D9-3F908D64F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3590" y="4910772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265</xdr:row>
      <xdr:rowOff>229795</xdr:rowOff>
    </xdr:from>
    <xdr:ext cx="1308711" cy="430657"/>
    <xdr:pic>
      <xdr:nvPicPr>
        <xdr:cNvPr id="15" name="Imagen 14">
          <a:extLst>
            <a:ext uri="{FF2B5EF4-FFF2-40B4-BE49-F238E27FC236}">
              <a16:creationId xmlns:a16="http://schemas.microsoft.com/office/drawing/2014/main" id="{8E4BF11E-B066-473B-A604-BFDDFFA09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4904224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125214</xdr:colOff>
      <xdr:row>296</xdr:row>
      <xdr:rowOff>295275</xdr:rowOff>
    </xdr:from>
    <xdr:ext cx="1581919" cy="337797"/>
    <xdr:pic>
      <xdr:nvPicPr>
        <xdr:cNvPr id="16" name="Imagen 15">
          <a:extLst>
            <a:ext uri="{FF2B5EF4-FFF2-40B4-BE49-F238E27FC236}">
              <a16:creationId xmlns:a16="http://schemas.microsoft.com/office/drawing/2014/main" id="{D4F571F5-11C1-4B2B-A91F-D3CD7B254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1614" y="5718492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120867</xdr:colOff>
      <xdr:row>296</xdr:row>
      <xdr:rowOff>229795</xdr:rowOff>
    </xdr:from>
    <xdr:ext cx="1308711" cy="430657"/>
    <xdr:pic>
      <xdr:nvPicPr>
        <xdr:cNvPr id="17" name="Imagen 16">
          <a:extLst>
            <a:ext uri="{FF2B5EF4-FFF2-40B4-BE49-F238E27FC236}">
              <a16:creationId xmlns:a16="http://schemas.microsoft.com/office/drawing/2014/main" id="{4AB81E40-DC86-4266-8B8C-3A7375C6C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3917" y="5711944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158740</xdr:colOff>
      <xdr:row>313</xdr:row>
      <xdr:rowOff>295275</xdr:rowOff>
    </xdr:from>
    <xdr:ext cx="1581919" cy="337797"/>
    <xdr:pic>
      <xdr:nvPicPr>
        <xdr:cNvPr id="18" name="Imagen 17">
          <a:extLst>
            <a:ext uri="{FF2B5EF4-FFF2-40B4-BE49-F238E27FC236}">
              <a16:creationId xmlns:a16="http://schemas.microsoft.com/office/drawing/2014/main" id="{E24094A1-D975-475B-AA18-5D399A56B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55140" y="6387782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120867</xdr:colOff>
      <xdr:row>313</xdr:row>
      <xdr:rowOff>229795</xdr:rowOff>
    </xdr:from>
    <xdr:ext cx="1308711" cy="430657"/>
    <xdr:pic>
      <xdr:nvPicPr>
        <xdr:cNvPr id="19" name="Imagen 18">
          <a:extLst>
            <a:ext uri="{FF2B5EF4-FFF2-40B4-BE49-F238E27FC236}">
              <a16:creationId xmlns:a16="http://schemas.microsoft.com/office/drawing/2014/main" id="{B4E7FDA0-67FB-4E9B-9BB9-657683EFF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3917" y="6381234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131917</xdr:colOff>
      <xdr:row>251</xdr:row>
      <xdr:rowOff>295275</xdr:rowOff>
    </xdr:from>
    <xdr:ext cx="1581919" cy="337797"/>
    <xdr:pic>
      <xdr:nvPicPr>
        <xdr:cNvPr id="20" name="Imagen 19">
          <a:extLst>
            <a:ext uri="{FF2B5EF4-FFF2-40B4-BE49-F238E27FC236}">
              <a16:creationId xmlns:a16="http://schemas.microsoft.com/office/drawing/2014/main" id="{4D032C27-3F9A-4CEB-9BE0-729AB4504B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8317" y="4618672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251</xdr:row>
      <xdr:rowOff>229795</xdr:rowOff>
    </xdr:from>
    <xdr:ext cx="1308711" cy="430657"/>
    <xdr:pic>
      <xdr:nvPicPr>
        <xdr:cNvPr id="21" name="Imagen 20">
          <a:extLst>
            <a:ext uri="{FF2B5EF4-FFF2-40B4-BE49-F238E27FC236}">
              <a16:creationId xmlns:a16="http://schemas.microsoft.com/office/drawing/2014/main" id="{0644BCAA-9B99-4DC5-8C62-E79E2E430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4612124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126794</xdr:colOff>
      <xdr:row>275</xdr:row>
      <xdr:rowOff>295275</xdr:rowOff>
    </xdr:from>
    <xdr:ext cx="1581919" cy="337797"/>
    <xdr:pic>
      <xdr:nvPicPr>
        <xdr:cNvPr id="22" name="Imagen 21">
          <a:extLst>
            <a:ext uri="{FF2B5EF4-FFF2-40B4-BE49-F238E27FC236}">
              <a16:creationId xmlns:a16="http://schemas.microsoft.com/office/drawing/2014/main" id="{787974D8-63FB-4E8B-8F57-5FFB378E30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3194" y="5186362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275</xdr:row>
      <xdr:rowOff>229795</xdr:rowOff>
    </xdr:from>
    <xdr:ext cx="1308711" cy="430657"/>
    <xdr:pic>
      <xdr:nvPicPr>
        <xdr:cNvPr id="23" name="Imagen 22">
          <a:extLst>
            <a:ext uri="{FF2B5EF4-FFF2-40B4-BE49-F238E27FC236}">
              <a16:creationId xmlns:a16="http://schemas.microsoft.com/office/drawing/2014/main" id="{929C96C0-310D-494E-8641-37F5F44625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5179814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127191</xdr:colOff>
      <xdr:row>285</xdr:row>
      <xdr:rowOff>295275</xdr:rowOff>
    </xdr:from>
    <xdr:ext cx="1581919" cy="337797"/>
    <xdr:pic>
      <xdr:nvPicPr>
        <xdr:cNvPr id="24" name="Imagen 23">
          <a:extLst>
            <a:ext uri="{FF2B5EF4-FFF2-40B4-BE49-F238E27FC236}">
              <a16:creationId xmlns:a16="http://schemas.microsoft.com/office/drawing/2014/main" id="{EB3659D0-D626-4825-B4B5-095EBD4CB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3591" y="5460047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285</xdr:row>
      <xdr:rowOff>229795</xdr:rowOff>
    </xdr:from>
    <xdr:ext cx="1308711" cy="430657"/>
    <xdr:pic>
      <xdr:nvPicPr>
        <xdr:cNvPr id="25" name="Imagen 24">
          <a:extLst>
            <a:ext uri="{FF2B5EF4-FFF2-40B4-BE49-F238E27FC236}">
              <a16:creationId xmlns:a16="http://schemas.microsoft.com/office/drawing/2014/main" id="{A60F4231-8398-4B73-891F-066E5CB57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5453499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145720</xdr:colOff>
      <xdr:row>330</xdr:row>
      <xdr:rowOff>295275</xdr:rowOff>
    </xdr:from>
    <xdr:ext cx="1581919" cy="337797"/>
    <xdr:pic>
      <xdr:nvPicPr>
        <xdr:cNvPr id="26" name="Imagen 25">
          <a:extLst>
            <a:ext uri="{FF2B5EF4-FFF2-40B4-BE49-F238E27FC236}">
              <a16:creationId xmlns:a16="http://schemas.microsoft.com/office/drawing/2014/main" id="{CADAA6A4-1432-40A3-8B8F-9DDAF4355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2120" y="6734492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195411</xdr:colOff>
      <xdr:row>330</xdr:row>
      <xdr:rowOff>229795</xdr:rowOff>
    </xdr:from>
    <xdr:ext cx="1308711" cy="430657"/>
    <xdr:pic>
      <xdr:nvPicPr>
        <xdr:cNvPr id="27" name="Imagen 26">
          <a:extLst>
            <a:ext uri="{FF2B5EF4-FFF2-40B4-BE49-F238E27FC236}">
              <a16:creationId xmlns:a16="http://schemas.microsoft.com/office/drawing/2014/main" id="{8EED75B7-CE34-4072-8CFC-AF1D12C96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68461" y="6727944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137439</xdr:colOff>
      <xdr:row>137</xdr:row>
      <xdr:rowOff>295275</xdr:rowOff>
    </xdr:from>
    <xdr:ext cx="1581919" cy="337797"/>
    <xdr:pic>
      <xdr:nvPicPr>
        <xdr:cNvPr id="30" name="Imagen 29">
          <a:extLst>
            <a:ext uri="{FF2B5EF4-FFF2-40B4-BE49-F238E27FC236}">
              <a16:creationId xmlns:a16="http://schemas.microsoft.com/office/drawing/2014/main" id="{90CFD1E3-C3AF-4D44-8815-5ECDCBC67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3839" y="2418397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137</xdr:row>
      <xdr:rowOff>229795</xdr:rowOff>
    </xdr:from>
    <xdr:ext cx="1308711" cy="430657"/>
    <xdr:pic>
      <xdr:nvPicPr>
        <xdr:cNvPr id="31" name="Imagen 30">
          <a:extLst>
            <a:ext uri="{FF2B5EF4-FFF2-40B4-BE49-F238E27FC236}">
              <a16:creationId xmlns:a16="http://schemas.microsoft.com/office/drawing/2014/main" id="{1B70F2F2-1F12-42A3-8B8E-1242267E9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2411849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201866</xdr:colOff>
      <xdr:row>185</xdr:row>
      <xdr:rowOff>295275</xdr:rowOff>
    </xdr:from>
    <xdr:ext cx="1581919" cy="337797"/>
    <xdr:pic>
      <xdr:nvPicPr>
        <xdr:cNvPr id="32" name="Imagen 31">
          <a:extLst>
            <a:ext uri="{FF2B5EF4-FFF2-40B4-BE49-F238E27FC236}">
              <a16:creationId xmlns:a16="http://schemas.microsoft.com/office/drawing/2014/main" id="{CA8A0CE6-E634-4A4E-8C65-6E0956C5B1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98266" y="3205797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185</xdr:row>
      <xdr:rowOff>229795</xdr:rowOff>
    </xdr:from>
    <xdr:ext cx="1308711" cy="430657"/>
    <xdr:pic>
      <xdr:nvPicPr>
        <xdr:cNvPr id="33" name="Imagen 32">
          <a:extLst>
            <a:ext uri="{FF2B5EF4-FFF2-40B4-BE49-F238E27FC236}">
              <a16:creationId xmlns:a16="http://schemas.microsoft.com/office/drawing/2014/main" id="{F5B81CA1-EF78-46BE-B259-98FACF4AA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3199249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201866</xdr:colOff>
      <xdr:row>197</xdr:row>
      <xdr:rowOff>295275</xdr:rowOff>
    </xdr:from>
    <xdr:ext cx="1581919" cy="337797"/>
    <xdr:pic>
      <xdr:nvPicPr>
        <xdr:cNvPr id="34" name="Imagen 33">
          <a:extLst>
            <a:ext uri="{FF2B5EF4-FFF2-40B4-BE49-F238E27FC236}">
              <a16:creationId xmlns:a16="http://schemas.microsoft.com/office/drawing/2014/main" id="{BD8CBBEF-9D8A-4852-8128-492C2D371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98266" y="3462972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197</xdr:row>
      <xdr:rowOff>229795</xdr:rowOff>
    </xdr:from>
    <xdr:ext cx="1308711" cy="430657"/>
    <xdr:pic>
      <xdr:nvPicPr>
        <xdr:cNvPr id="35" name="Imagen 34">
          <a:extLst>
            <a:ext uri="{FF2B5EF4-FFF2-40B4-BE49-F238E27FC236}">
              <a16:creationId xmlns:a16="http://schemas.microsoft.com/office/drawing/2014/main" id="{09925767-01BE-420E-B368-A0B1ECD15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3456424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167546</xdr:colOff>
      <xdr:row>349</xdr:row>
      <xdr:rowOff>295275</xdr:rowOff>
    </xdr:from>
    <xdr:ext cx="1581919" cy="337797"/>
    <xdr:pic>
      <xdr:nvPicPr>
        <xdr:cNvPr id="36" name="Imagen 35">
          <a:extLst>
            <a:ext uri="{FF2B5EF4-FFF2-40B4-BE49-F238E27FC236}">
              <a16:creationId xmlns:a16="http://schemas.microsoft.com/office/drawing/2014/main" id="{A3C314BC-1288-4E0D-A3DB-CEB098A0A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3946" y="7107872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237283</xdr:colOff>
      <xdr:row>349</xdr:row>
      <xdr:rowOff>229795</xdr:rowOff>
    </xdr:from>
    <xdr:ext cx="1308711" cy="430657"/>
    <xdr:pic>
      <xdr:nvPicPr>
        <xdr:cNvPr id="37" name="Imagen 36">
          <a:extLst>
            <a:ext uri="{FF2B5EF4-FFF2-40B4-BE49-F238E27FC236}">
              <a16:creationId xmlns:a16="http://schemas.microsoft.com/office/drawing/2014/main" id="{8E50EB5A-C2E9-4DA5-A5C9-877D8BFE4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0333" y="7101324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167546</xdr:colOff>
      <xdr:row>361</xdr:row>
      <xdr:rowOff>295275</xdr:rowOff>
    </xdr:from>
    <xdr:ext cx="1581919" cy="337797"/>
    <xdr:pic>
      <xdr:nvPicPr>
        <xdr:cNvPr id="38" name="Imagen 37">
          <a:extLst>
            <a:ext uri="{FF2B5EF4-FFF2-40B4-BE49-F238E27FC236}">
              <a16:creationId xmlns:a16="http://schemas.microsoft.com/office/drawing/2014/main" id="{14E25766-1712-48C5-864D-48453BF85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3946" y="7358697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237283</xdr:colOff>
      <xdr:row>361</xdr:row>
      <xdr:rowOff>229795</xdr:rowOff>
    </xdr:from>
    <xdr:ext cx="1308711" cy="430657"/>
    <xdr:pic>
      <xdr:nvPicPr>
        <xdr:cNvPr id="39" name="Imagen 38">
          <a:extLst>
            <a:ext uri="{FF2B5EF4-FFF2-40B4-BE49-F238E27FC236}">
              <a16:creationId xmlns:a16="http://schemas.microsoft.com/office/drawing/2014/main" id="{1A4BC127-C73F-4ED9-B0EB-DF810B55B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0333" y="7352149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167546</xdr:colOff>
      <xdr:row>376</xdr:row>
      <xdr:rowOff>295275</xdr:rowOff>
    </xdr:from>
    <xdr:ext cx="1581919" cy="337797"/>
    <xdr:pic>
      <xdr:nvPicPr>
        <xdr:cNvPr id="40" name="Imagen 39">
          <a:extLst>
            <a:ext uri="{FF2B5EF4-FFF2-40B4-BE49-F238E27FC236}">
              <a16:creationId xmlns:a16="http://schemas.microsoft.com/office/drawing/2014/main" id="{0F1A96F8-BD2E-4967-8FEA-209CA8D23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3946" y="7652067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237283</xdr:colOff>
      <xdr:row>376</xdr:row>
      <xdr:rowOff>229795</xdr:rowOff>
    </xdr:from>
    <xdr:ext cx="1308711" cy="430657"/>
    <xdr:pic>
      <xdr:nvPicPr>
        <xdr:cNvPr id="41" name="Imagen 40">
          <a:extLst>
            <a:ext uri="{FF2B5EF4-FFF2-40B4-BE49-F238E27FC236}">
              <a16:creationId xmlns:a16="http://schemas.microsoft.com/office/drawing/2014/main" id="{5D89ADFA-DFEC-4E7B-A620-AEC51B19C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0333" y="7645519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167546</xdr:colOff>
      <xdr:row>388</xdr:row>
      <xdr:rowOff>295275</xdr:rowOff>
    </xdr:from>
    <xdr:ext cx="1581919" cy="337797"/>
    <xdr:pic>
      <xdr:nvPicPr>
        <xdr:cNvPr id="42" name="Imagen 41">
          <a:extLst>
            <a:ext uri="{FF2B5EF4-FFF2-40B4-BE49-F238E27FC236}">
              <a16:creationId xmlns:a16="http://schemas.microsoft.com/office/drawing/2014/main" id="{A5AEF80A-4462-4470-93C8-9847557C7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3946" y="7907972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237283</xdr:colOff>
      <xdr:row>388</xdr:row>
      <xdr:rowOff>229795</xdr:rowOff>
    </xdr:from>
    <xdr:ext cx="1308711" cy="430657"/>
    <xdr:pic>
      <xdr:nvPicPr>
        <xdr:cNvPr id="43" name="Imagen 42">
          <a:extLst>
            <a:ext uri="{FF2B5EF4-FFF2-40B4-BE49-F238E27FC236}">
              <a16:creationId xmlns:a16="http://schemas.microsoft.com/office/drawing/2014/main" id="{8FDCE1BB-E2AA-4E9C-8897-F8AB683A9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0333" y="7901424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125214</xdr:colOff>
      <xdr:row>305</xdr:row>
      <xdr:rowOff>295275</xdr:rowOff>
    </xdr:from>
    <xdr:ext cx="1581919" cy="337797"/>
    <xdr:pic>
      <xdr:nvPicPr>
        <xdr:cNvPr id="44" name="Imagen 43">
          <a:extLst>
            <a:ext uri="{FF2B5EF4-FFF2-40B4-BE49-F238E27FC236}">
              <a16:creationId xmlns:a16="http://schemas.microsoft.com/office/drawing/2014/main" id="{99A94713-8591-451C-BEA7-492E976A4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1614" y="5950902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120867</xdr:colOff>
      <xdr:row>305</xdr:row>
      <xdr:rowOff>229795</xdr:rowOff>
    </xdr:from>
    <xdr:ext cx="1308711" cy="430657"/>
    <xdr:pic>
      <xdr:nvPicPr>
        <xdr:cNvPr id="45" name="Imagen 44">
          <a:extLst>
            <a:ext uri="{FF2B5EF4-FFF2-40B4-BE49-F238E27FC236}">
              <a16:creationId xmlns:a16="http://schemas.microsoft.com/office/drawing/2014/main" id="{E0D050AA-D873-45F3-A4DF-FC4CF39F64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3917" y="59443545"/>
          <a:ext cx="1308711" cy="430657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265474</xdr:colOff>
      <xdr:row>0</xdr:row>
      <xdr:rowOff>295275</xdr:rowOff>
    </xdr:from>
    <xdr:to>
      <xdr:col>23</xdr:col>
      <xdr:colOff>60282</xdr:colOff>
      <xdr:row>1</xdr:row>
      <xdr:rowOff>136115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E01DEE-31E4-43E3-91E0-70DCED4E0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99974" y="292100"/>
          <a:ext cx="1452158" cy="339315"/>
        </a:xfrm>
        <a:prstGeom prst="rect">
          <a:avLst/>
        </a:prstGeom>
      </xdr:spPr>
    </xdr:pic>
    <xdr:clientData/>
  </xdr:twoCellAnchor>
  <xdr:twoCellAnchor editAs="oneCell">
    <xdr:from>
      <xdr:col>1</xdr:col>
      <xdr:colOff>220258</xdr:colOff>
      <xdr:row>0</xdr:row>
      <xdr:rowOff>229795</xdr:rowOff>
    </xdr:from>
    <xdr:to>
      <xdr:col>2</xdr:col>
      <xdr:colOff>1221014</xdr:colOff>
      <xdr:row>1</xdr:row>
      <xdr:rowOff>160320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77C308-BAA2-4BD2-912D-22CF50F72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229795"/>
          <a:ext cx="1289681" cy="425825"/>
        </a:xfrm>
        <a:prstGeom prst="rect">
          <a:avLst/>
        </a:prstGeom>
      </xdr:spPr>
    </xdr:pic>
    <xdr:clientData/>
  </xdr:twoCellAnchor>
  <xdr:oneCellAnchor>
    <xdr:from>
      <xdr:col>19</xdr:col>
      <xdr:colOff>183195</xdr:colOff>
      <xdr:row>37</xdr:row>
      <xdr:rowOff>295275</xdr:rowOff>
    </xdr:from>
    <xdr:ext cx="1581919" cy="337797"/>
    <xdr:pic>
      <xdr:nvPicPr>
        <xdr:cNvPr id="4" name="Imagen 3">
          <a:extLst>
            <a:ext uri="{FF2B5EF4-FFF2-40B4-BE49-F238E27FC236}">
              <a16:creationId xmlns:a16="http://schemas.microsoft.com/office/drawing/2014/main" id="{1C2F20EC-5BAE-4B8B-B7AE-7D8EB6DE0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4520" y="773112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37</xdr:row>
      <xdr:rowOff>229795</xdr:rowOff>
    </xdr:from>
    <xdr:ext cx="1308711" cy="430657"/>
    <xdr:pic>
      <xdr:nvPicPr>
        <xdr:cNvPr id="5" name="Imagen 4">
          <a:extLst>
            <a:ext uri="{FF2B5EF4-FFF2-40B4-BE49-F238E27FC236}">
              <a16:creationId xmlns:a16="http://schemas.microsoft.com/office/drawing/2014/main" id="{ABBC793B-DD19-424F-AA10-6E09ECED4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7668820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137439</xdr:colOff>
      <xdr:row>78</xdr:row>
      <xdr:rowOff>295275</xdr:rowOff>
    </xdr:from>
    <xdr:ext cx="1581919" cy="337797"/>
    <xdr:pic>
      <xdr:nvPicPr>
        <xdr:cNvPr id="6" name="Imagen 5">
          <a:extLst>
            <a:ext uri="{FF2B5EF4-FFF2-40B4-BE49-F238E27FC236}">
              <a16:creationId xmlns:a16="http://schemas.microsoft.com/office/drawing/2014/main" id="{48A0F7FE-4CEF-41D9-A39B-91B30E459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5114" y="1662747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78</xdr:row>
      <xdr:rowOff>229795</xdr:rowOff>
    </xdr:from>
    <xdr:ext cx="1308711" cy="430657"/>
    <xdr:pic>
      <xdr:nvPicPr>
        <xdr:cNvPr id="7" name="Imagen 6">
          <a:extLst>
            <a:ext uri="{FF2B5EF4-FFF2-40B4-BE49-F238E27FC236}">
              <a16:creationId xmlns:a16="http://schemas.microsoft.com/office/drawing/2014/main" id="{D14A5870-872D-4F24-8C81-E20219689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16565170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159532</xdr:colOff>
      <xdr:row>174</xdr:row>
      <xdr:rowOff>295275</xdr:rowOff>
    </xdr:from>
    <xdr:ext cx="1581919" cy="337797"/>
    <xdr:pic>
      <xdr:nvPicPr>
        <xdr:cNvPr id="8" name="Imagen 7">
          <a:extLst>
            <a:ext uri="{FF2B5EF4-FFF2-40B4-BE49-F238E27FC236}">
              <a16:creationId xmlns:a16="http://schemas.microsoft.com/office/drawing/2014/main" id="{69B73FF2-320B-4ADC-A20A-31E0FB96E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97207" y="37249100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174</xdr:row>
      <xdr:rowOff>229795</xdr:rowOff>
    </xdr:from>
    <xdr:ext cx="1308711" cy="430657"/>
    <xdr:pic>
      <xdr:nvPicPr>
        <xdr:cNvPr id="9" name="Imagen 8">
          <a:extLst>
            <a:ext uri="{FF2B5EF4-FFF2-40B4-BE49-F238E27FC236}">
              <a16:creationId xmlns:a16="http://schemas.microsoft.com/office/drawing/2014/main" id="{6413C6B0-0D22-4D6F-9F22-7C67048A7C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3718679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181619</xdr:colOff>
      <xdr:row>184</xdr:row>
      <xdr:rowOff>295275</xdr:rowOff>
    </xdr:from>
    <xdr:ext cx="1581919" cy="337797"/>
    <xdr:pic>
      <xdr:nvPicPr>
        <xdr:cNvPr id="10" name="Imagen 9">
          <a:extLst>
            <a:ext uri="{FF2B5EF4-FFF2-40B4-BE49-F238E27FC236}">
              <a16:creationId xmlns:a16="http://schemas.microsoft.com/office/drawing/2014/main" id="{CC20860A-1FF0-4E11-B18D-9E75D3C0AE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2944" y="39820850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184</xdr:row>
      <xdr:rowOff>229795</xdr:rowOff>
    </xdr:from>
    <xdr:ext cx="1308711" cy="430657"/>
    <xdr:pic>
      <xdr:nvPicPr>
        <xdr:cNvPr id="11" name="Imagen 10">
          <a:extLst>
            <a:ext uri="{FF2B5EF4-FFF2-40B4-BE49-F238E27FC236}">
              <a16:creationId xmlns:a16="http://schemas.microsoft.com/office/drawing/2014/main" id="{B06CBD4C-8338-4FDE-8640-59B77566CC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3975854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122456</xdr:colOff>
      <xdr:row>195</xdr:row>
      <xdr:rowOff>295275</xdr:rowOff>
    </xdr:from>
    <xdr:ext cx="1581919" cy="337797"/>
    <xdr:pic>
      <xdr:nvPicPr>
        <xdr:cNvPr id="12" name="Imagen 11">
          <a:extLst>
            <a:ext uri="{FF2B5EF4-FFF2-40B4-BE49-F238E27FC236}">
              <a16:creationId xmlns:a16="http://schemas.microsoft.com/office/drawing/2014/main" id="{C79C5142-D1E4-4BDA-992A-A8756B3DD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0131" y="43059350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195</xdr:row>
      <xdr:rowOff>229795</xdr:rowOff>
    </xdr:from>
    <xdr:ext cx="1308711" cy="430657"/>
    <xdr:pic>
      <xdr:nvPicPr>
        <xdr:cNvPr id="13" name="Imagen 12">
          <a:extLst>
            <a:ext uri="{FF2B5EF4-FFF2-40B4-BE49-F238E27FC236}">
              <a16:creationId xmlns:a16="http://schemas.microsoft.com/office/drawing/2014/main" id="{6BF2D0BE-5ADE-4AD8-9C06-538E71C97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4299704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127190</xdr:colOff>
      <xdr:row>223</xdr:row>
      <xdr:rowOff>295275</xdr:rowOff>
    </xdr:from>
    <xdr:ext cx="1581919" cy="337797"/>
    <xdr:pic>
      <xdr:nvPicPr>
        <xdr:cNvPr id="14" name="Imagen 13">
          <a:extLst>
            <a:ext uri="{FF2B5EF4-FFF2-40B4-BE49-F238E27FC236}">
              <a16:creationId xmlns:a16="http://schemas.microsoft.com/office/drawing/2014/main" id="{29797108-1549-4D8B-8E82-58001864F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58515" y="48888650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223</xdr:row>
      <xdr:rowOff>229795</xdr:rowOff>
    </xdr:from>
    <xdr:ext cx="1308711" cy="430657"/>
    <xdr:pic>
      <xdr:nvPicPr>
        <xdr:cNvPr id="15" name="Imagen 14">
          <a:extLst>
            <a:ext uri="{FF2B5EF4-FFF2-40B4-BE49-F238E27FC236}">
              <a16:creationId xmlns:a16="http://schemas.microsoft.com/office/drawing/2014/main" id="{DEC5B3E5-DC1C-422A-A011-4D89F9D2D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4882634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158740</xdr:colOff>
      <xdr:row>270</xdr:row>
      <xdr:rowOff>295275</xdr:rowOff>
    </xdr:from>
    <xdr:ext cx="1581919" cy="337797"/>
    <xdr:pic>
      <xdr:nvPicPr>
        <xdr:cNvPr id="18" name="Imagen 17">
          <a:extLst>
            <a:ext uri="{FF2B5EF4-FFF2-40B4-BE49-F238E27FC236}">
              <a16:creationId xmlns:a16="http://schemas.microsoft.com/office/drawing/2014/main" id="{79225604-AEE9-44D0-B844-08A540688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96415" y="6124257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120867</xdr:colOff>
      <xdr:row>270</xdr:row>
      <xdr:rowOff>229795</xdr:rowOff>
    </xdr:from>
    <xdr:ext cx="1308711" cy="430657"/>
    <xdr:pic>
      <xdr:nvPicPr>
        <xdr:cNvPr id="19" name="Imagen 18">
          <a:extLst>
            <a:ext uri="{FF2B5EF4-FFF2-40B4-BE49-F238E27FC236}">
              <a16:creationId xmlns:a16="http://schemas.microsoft.com/office/drawing/2014/main" id="{F90D50FF-C1FB-48E0-9A3D-101C6EE78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267" y="61180270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131917</xdr:colOff>
      <xdr:row>209</xdr:row>
      <xdr:rowOff>295275</xdr:rowOff>
    </xdr:from>
    <xdr:ext cx="1581919" cy="337797"/>
    <xdr:pic>
      <xdr:nvPicPr>
        <xdr:cNvPr id="20" name="Imagen 19">
          <a:extLst>
            <a:ext uri="{FF2B5EF4-FFF2-40B4-BE49-F238E27FC236}">
              <a16:creationId xmlns:a16="http://schemas.microsoft.com/office/drawing/2014/main" id="{7C35E1B2-9839-467C-997A-66F2AF68D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6417" y="45974000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209</xdr:row>
      <xdr:rowOff>229795</xdr:rowOff>
    </xdr:from>
    <xdr:ext cx="1308711" cy="430657"/>
    <xdr:pic>
      <xdr:nvPicPr>
        <xdr:cNvPr id="21" name="Imagen 20">
          <a:extLst>
            <a:ext uri="{FF2B5EF4-FFF2-40B4-BE49-F238E27FC236}">
              <a16:creationId xmlns:a16="http://schemas.microsoft.com/office/drawing/2014/main" id="{35F2D4B0-13E5-44BC-93B0-0459FA4007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4591169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126794</xdr:colOff>
      <xdr:row>233</xdr:row>
      <xdr:rowOff>295275</xdr:rowOff>
    </xdr:from>
    <xdr:ext cx="1581919" cy="337797"/>
    <xdr:pic>
      <xdr:nvPicPr>
        <xdr:cNvPr id="22" name="Imagen 21">
          <a:extLst>
            <a:ext uri="{FF2B5EF4-FFF2-40B4-BE49-F238E27FC236}">
              <a16:creationId xmlns:a16="http://schemas.microsoft.com/office/drawing/2014/main" id="{EDF76A52-4F3A-4291-8F96-90CB34E64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58119" y="5164137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233</xdr:row>
      <xdr:rowOff>229795</xdr:rowOff>
    </xdr:from>
    <xdr:ext cx="1308711" cy="430657"/>
    <xdr:pic>
      <xdr:nvPicPr>
        <xdr:cNvPr id="23" name="Imagen 22">
          <a:extLst>
            <a:ext uri="{FF2B5EF4-FFF2-40B4-BE49-F238E27FC236}">
              <a16:creationId xmlns:a16="http://schemas.microsoft.com/office/drawing/2014/main" id="{54C532C3-3D89-4D99-AC4E-F113ECC8E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51579070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127191</xdr:colOff>
      <xdr:row>243</xdr:row>
      <xdr:rowOff>295275</xdr:rowOff>
    </xdr:from>
    <xdr:ext cx="1581919" cy="337797"/>
    <xdr:pic>
      <xdr:nvPicPr>
        <xdr:cNvPr id="24" name="Imagen 23">
          <a:extLst>
            <a:ext uri="{FF2B5EF4-FFF2-40B4-BE49-F238E27FC236}">
              <a16:creationId xmlns:a16="http://schemas.microsoft.com/office/drawing/2014/main" id="{DFF8F931-072A-491F-BFA8-50A991A05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58516" y="54394100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243</xdr:row>
      <xdr:rowOff>229795</xdr:rowOff>
    </xdr:from>
    <xdr:ext cx="1308711" cy="430657"/>
    <xdr:pic>
      <xdr:nvPicPr>
        <xdr:cNvPr id="25" name="Imagen 24">
          <a:extLst>
            <a:ext uri="{FF2B5EF4-FFF2-40B4-BE49-F238E27FC236}">
              <a16:creationId xmlns:a16="http://schemas.microsoft.com/office/drawing/2014/main" id="{D7BE84B8-1864-4B89-887E-8FBF99EBA9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5433179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145720</xdr:colOff>
      <xdr:row>284</xdr:row>
      <xdr:rowOff>295275</xdr:rowOff>
    </xdr:from>
    <xdr:ext cx="1581919" cy="337797"/>
    <xdr:pic>
      <xdr:nvPicPr>
        <xdr:cNvPr id="26" name="Imagen 25">
          <a:extLst>
            <a:ext uri="{FF2B5EF4-FFF2-40B4-BE49-F238E27FC236}">
              <a16:creationId xmlns:a16="http://schemas.microsoft.com/office/drawing/2014/main" id="{4C6E482A-9258-4B2A-98C9-0AC78B638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7045" y="64738250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195411</xdr:colOff>
      <xdr:row>284</xdr:row>
      <xdr:rowOff>229795</xdr:rowOff>
    </xdr:from>
    <xdr:ext cx="1308711" cy="430657"/>
    <xdr:pic>
      <xdr:nvPicPr>
        <xdr:cNvPr id="27" name="Imagen 26">
          <a:extLst>
            <a:ext uri="{FF2B5EF4-FFF2-40B4-BE49-F238E27FC236}">
              <a16:creationId xmlns:a16="http://schemas.microsoft.com/office/drawing/2014/main" id="{01AB06B3-B272-4074-A975-414390E63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4811" y="6467594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137439</xdr:colOff>
      <xdr:row>110</xdr:row>
      <xdr:rowOff>295275</xdr:rowOff>
    </xdr:from>
    <xdr:ext cx="1581919" cy="337797"/>
    <xdr:pic>
      <xdr:nvPicPr>
        <xdr:cNvPr id="30" name="Imagen 29">
          <a:extLst>
            <a:ext uri="{FF2B5EF4-FFF2-40B4-BE49-F238E27FC236}">
              <a16:creationId xmlns:a16="http://schemas.microsoft.com/office/drawing/2014/main" id="{B4E9EE68-9D20-4924-9247-DF2B4B463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75114" y="2382837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110</xdr:row>
      <xdr:rowOff>229795</xdr:rowOff>
    </xdr:from>
    <xdr:ext cx="1308711" cy="430657"/>
    <xdr:pic>
      <xdr:nvPicPr>
        <xdr:cNvPr id="31" name="Imagen 30">
          <a:extLst>
            <a:ext uri="{FF2B5EF4-FFF2-40B4-BE49-F238E27FC236}">
              <a16:creationId xmlns:a16="http://schemas.microsoft.com/office/drawing/2014/main" id="{06987F7F-E792-49A2-9CDB-8AF974CA9E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23766070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201866</xdr:colOff>
      <xdr:row>148</xdr:row>
      <xdr:rowOff>295275</xdr:rowOff>
    </xdr:from>
    <xdr:ext cx="1581919" cy="337797"/>
    <xdr:pic>
      <xdr:nvPicPr>
        <xdr:cNvPr id="32" name="Imagen 31">
          <a:extLst>
            <a:ext uri="{FF2B5EF4-FFF2-40B4-BE49-F238E27FC236}">
              <a16:creationId xmlns:a16="http://schemas.microsoft.com/office/drawing/2014/main" id="{44DF7760-93F4-4D8F-B96D-D97779583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3191" y="31819850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148</xdr:row>
      <xdr:rowOff>229795</xdr:rowOff>
    </xdr:from>
    <xdr:ext cx="1308711" cy="430657"/>
    <xdr:pic>
      <xdr:nvPicPr>
        <xdr:cNvPr id="33" name="Imagen 32">
          <a:extLst>
            <a:ext uri="{FF2B5EF4-FFF2-40B4-BE49-F238E27FC236}">
              <a16:creationId xmlns:a16="http://schemas.microsoft.com/office/drawing/2014/main" id="{FF1A7E1B-DAA2-462F-A9B6-3B11F401E0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3175754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201866</xdr:colOff>
      <xdr:row>160</xdr:row>
      <xdr:rowOff>295275</xdr:rowOff>
    </xdr:from>
    <xdr:ext cx="1581919" cy="337797"/>
    <xdr:pic>
      <xdr:nvPicPr>
        <xdr:cNvPr id="34" name="Imagen 33">
          <a:extLst>
            <a:ext uri="{FF2B5EF4-FFF2-40B4-BE49-F238E27FC236}">
              <a16:creationId xmlns:a16="http://schemas.microsoft.com/office/drawing/2014/main" id="{1F0A7679-95C2-42BF-BAD5-752BCBCF1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3191" y="3438207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160</xdr:row>
      <xdr:rowOff>229795</xdr:rowOff>
    </xdr:from>
    <xdr:ext cx="1308711" cy="430657"/>
    <xdr:pic>
      <xdr:nvPicPr>
        <xdr:cNvPr id="35" name="Imagen 34">
          <a:extLst>
            <a:ext uri="{FF2B5EF4-FFF2-40B4-BE49-F238E27FC236}">
              <a16:creationId xmlns:a16="http://schemas.microsoft.com/office/drawing/2014/main" id="{3FD68648-E08D-44FC-A02F-27D3FE3DE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34319770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167546</xdr:colOff>
      <xdr:row>301</xdr:row>
      <xdr:rowOff>295275</xdr:rowOff>
    </xdr:from>
    <xdr:ext cx="1581919" cy="337797"/>
    <xdr:pic>
      <xdr:nvPicPr>
        <xdr:cNvPr id="36" name="Imagen 35">
          <a:extLst>
            <a:ext uri="{FF2B5EF4-FFF2-40B4-BE49-F238E27FC236}">
              <a16:creationId xmlns:a16="http://schemas.microsoft.com/office/drawing/2014/main" id="{301FBB14-5D86-4879-A063-5056E44C6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98871" y="68510150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237283</xdr:colOff>
      <xdr:row>301</xdr:row>
      <xdr:rowOff>229795</xdr:rowOff>
    </xdr:from>
    <xdr:ext cx="1308711" cy="430657"/>
    <xdr:pic>
      <xdr:nvPicPr>
        <xdr:cNvPr id="37" name="Imagen 36">
          <a:extLst>
            <a:ext uri="{FF2B5EF4-FFF2-40B4-BE49-F238E27FC236}">
              <a16:creationId xmlns:a16="http://schemas.microsoft.com/office/drawing/2014/main" id="{66885B80-0718-48C3-8E3F-33FCB5F2F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6683" y="6844784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167546</xdr:colOff>
      <xdr:row>311</xdr:row>
      <xdr:rowOff>295275</xdr:rowOff>
    </xdr:from>
    <xdr:ext cx="1581919" cy="337797"/>
    <xdr:pic>
      <xdr:nvPicPr>
        <xdr:cNvPr id="38" name="Imagen 37">
          <a:extLst>
            <a:ext uri="{FF2B5EF4-FFF2-40B4-BE49-F238E27FC236}">
              <a16:creationId xmlns:a16="http://schemas.microsoft.com/office/drawing/2014/main" id="{4D0980DF-C756-4633-8E2B-AC0E23C3A4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98871" y="70396100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237283</xdr:colOff>
      <xdr:row>311</xdr:row>
      <xdr:rowOff>229795</xdr:rowOff>
    </xdr:from>
    <xdr:ext cx="1308711" cy="430657"/>
    <xdr:pic>
      <xdr:nvPicPr>
        <xdr:cNvPr id="39" name="Imagen 38">
          <a:extLst>
            <a:ext uri="{FF2B5EF4-FFF2-40B4-BE49-F238E27FC236}">
              <a16:creationId xmlns:a16="http://schemas.microsoft.com/office/drawing/2014/main" id="{374B1814-416D-4665-852B-5EBD972D3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6683" y="7033379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167546</xdr:colOff>
      <xdr:row>322</xdr:row>
      <xdr:rowOff>295275</xdr:rowOff>
    </xdr:from>
    <xdr:ext cx="1581919" cy="337797"/>
    <xdr:pic>
      <xdr:nvPicPr>
        <xdr:cNvPr id="40" name="Imagen 39">
          <a:extLst>
            <a:ext uri="{FF2B5EF4-FFF2-40B4-BE49-F238E27FC236}">
              <a16:creationId xmlns:a16="http://schemas.microsoft.com/office/drawing/2014/main" id="{4C3F62F8-2DEF-4563-B528-5075D989BA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98871" y="72948800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237283</xdr:colOff>
      <xdr:row>322</xdr:row>
      <xdr:rowOff>229795</xdr:rowOff>
    </xdr:from>
    <xdr:ext cx="1308711" cy="430657"/>
    <xdr:pic>
      <xdr:nvPicPr>
        <xdr:cNvPr id="41" name="Imagen 40">
          <a:extLst>
            <a:ext uri="{FF2B5EF4-FFF2-40B4-BE49-F238E27FC236}">
              <a16:creationId xmlns:a16="http://schemas.microsoft.com/office/drawing/2014/main" id="{9E6B94C8-0F79-4216-A195-65F2F9C83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6683" y="7288649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167546</xdr:colOff>
      <xdr:row>334</xdr:row>
      <xdr:rowOff>295275</xdr:rowOff>
    </xdr:from>
    <xdr:ext cx="1581919" cy="337797"/>
    <xdr:pic>
      <xdr:nvPicPr>
        <xdr:cNvPr id="42" name="Imagen 41">
          <a:extLst>
            <a:ext uri="{FF2B5EF4-FFF2-40B4-BE49-F238E27FC236}">
              <a16:creationId xmlns:a16="http://schemas.microsoft.com/office/drawing/2014/main" id="{447AE042-CCC2-4482-A207-1DC505185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98871" y="75215750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237283</xdr:colOff>
      <xdr:row>334</xdr:row>
      <xdr:rowOff>229795</xdr:rowOff>
    </xdr:from>
    <xdr:ext cx="1308711" cy="430657"/>
    <xdr:pic>
      <xdr:nvPicPr>
        <xdr:cNvPr id="43" name="Imagen 42">
          <a:extLst>
            <a:ext uri="{FF2B5EF4-FFF2-40B4-BE49-F238E27FC236}">
              <a16:creationId xmlns:a16="http://schemas.microsoft.com/office/drawing/2014/main" id="{32A3EAE5-862A-4483-83E2-78111CA86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6683" y="7515344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125214</xdr:colOff>
      <xdr:row>254</xdr:row>
      <xdr:rowOff>295275</xdr:rowOff>
    </xdr:from>
    <xdr:ext cx="1581919" cy="337797"/>
    <xdr:pic>
      <xdr:nvPicPr>
        <xdr:cNvPr id="16" name="Imagen 15">
          <a:extLst>
            <a:ext uri="{FF2B5EF4-FFF2-40B4-BE49-F238E27FC236}">
              <a16:creationId xmlns:a16="http://schemas.microsoft.com/office/drawing/2014/main" id="{E00BC52F-2EDC-4288-AB34-3209E63F8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1614" y="5652452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120867</xdr:colOff>
      <xdr:row>254</xdr:row>
      <xdr:rowOff>229795</xdr:rowOff>
    </xdr:from>
    <xdr:ext cx="1308711" cy="430657"/>
    <xdr:pic>
      <xdr:nvPicPr>
        <xdr:cNvPr id="17" name="Imagen 16">
          <a:extLst>
            <a:ext uri="{FF2B5EF4-FFF2-40B4-BE49-F238E27FC236}">
              <a16:creationId xmlns:a16="http://schemas.microsoft.com/office/drawing/2014/main" id="{B5539E4C-093B-4290-B075-1D92FF527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3917" y="5645904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125214</xdr:colOff>
      <xdr:row>262</xdr:row>
      <xdr:rowOff>295275</xdr:rowOff>
    </xdr:from>
    <xdr:ext cx="1581919" cy="337797"/>
    <xdr:pic>
      <xdr:nvPicPr>
        <xdr:cNvPr id="44" name="Imagen 43">
          <a:extLst>
            <a:ext uri="{FF2B5EF4-FFF2-40B4-BE49-F238E27FC236}">
              <a16:creationId xmlns:a16="http://schemas.microsoft.com/office/drawing/2014/main" id="{149845D2-7603-4847-B0A8-738AFE2FD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5071" y="48954418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120867</xdr:colOff>
      <xdr:row>262</xdr:row>
      <xdr:rowOff>229795</xdr:rowOff>
    </xdr:from>
    <xdr:ext cx="1308711" cy="430657"/>
    <xdr:pic>
      <xdr:nvPicPr>
        <xdr:cNvPr id="45" name="Imagen 44">
          <a:extLst>
            <a:ext uri="{FF2B5EF4-FFF2-40B4-BE49-F238E27FC236}">
              <a16:creationId xmlns:a16="http://schemas.microsoft.com/office/drawing/2014/main" id="{629E3DA2-57CF-4B95-A942-D02E7BE68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3010" y="48888938"/>
          <a:ext cx="1308711" cy="430657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265474</xdr:colOff>
      <xdr:row>0</xdr:row>
      <xdr:rowOff>295275</xdr:rowOff>
    </xdr:from>
    <xdr:to>
      <xdr:col>23</xdr:col>
      <xdr:colOff>60282</xdr:colOff>
      <xdr:row>1</xdr:row>
      <xdr:rowOff>136115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2CFF9F4-AD5F-4912-B8DA-A0FFBDE59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7724" y="295275"/>
          <a:ext cx="1458508" cy="336140"/>
        </a:xfrm>
        <a:prstGeom prst="rect">
          <a:avLst/>
        </a:prstGeom>
      </xdr:spPr>
    </xdr:pic>
    <xdr:clientData/>
  </xdr:twoCellAnchor>
  <xdr:twoCellAnchor editAs="oneCell">
    <xdr:from>
      <xdr:col>1</xdr:col>
      <xdr:colOff>220258</xdr:colOff>
      <xdr:row>0</xdr:row>
      <xdr:rowOff>229795</xdr:rowOff>
    </xdr:from>
    <xdr:to>
      <xdr:col>2</xdr:col>
      <xdr:colOff>1221014</xdr:colOff>
      <xdr:row>1</xdr:row>
      <xdr:rowOff>163495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8C48CA-109C-4F18-B4FA-37DD24544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229795"/>
          <a:ext cx="1291042" cy="429000"/>
        </a:xfrm>
        <a:prstGeom prst="rect">
          <a:avLst/>
        </a:prstGeom>
      </xdr:spPr>
    </xdr:pic>
    <xdr:clientData/>
  </xdr:twoCellAnchor>
  <xdr:oneCellAnchor>
    <xdr:from>
      <xdr:col>19</xdr:col>
      <xdr:colOff>183195</xdr:colOff>
      <xdr:row>52</xdr:row>
      <xdr:rowOff>295275</xdr:rowOff>
    </xdr:from>
    <xdr:ext cx="1581919" cy="337797"/>
    <xdr:pic>
      <xdr:nvPicPr>
        <xdr:cNvPr id="4" name="Imagen 3">
          <a:extLst>
            <a:ext uri="{FF2B5EF4-FFF2-40B4-BE49-F238E27FC236}">
              <a16:creationId xmlns:a16="http://schemas.microsoft.com/office/drawing/2014/main" id="{C594EA45-69D1-4548-A8ED-523002D97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45338" y="7606846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52</xdr:row>
      <xdr:rowOff>229795</xdr:rowOff>
    </xdr:from>
    <xdr:ext cx="1308711" cy="430657"/>
    <xdr:pic>
      <xdr:nvPicPr>
        <xdr:cNvPr id="5" name="Imagen 4">
          <a:extLst>
            <a:ext uri="{FF2B5EF4-FFF2-40B4-BE49-F238E27FC236}">
              <a16:creationId xmlns:a16="http://schemas.microsoft.com/office/drawing/2014/main" id="{F7D66F1F-B5D1-426B-ABF5-7436BE47E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744339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137439</xdr:colOff>
      <xdr:row>109</xdr:row>
      <xdr:rowOff>295275</xdr:rowOff>
    </xdr:from>
    <xdr:ext cx="1581919" cy="337797"/>
    <xdr:pic>
      <xdr:nvPicPr>
        <xdr:cNvPr id="6" name="Imagen 5">
          <a:extLst>
            <a:ext uri="{FF2B5EF4-FFF2-40B4-BE49-F238E27FC236}">
              <a16:creationId xmlns:a16="http://schemas.microsoft.com/office/drawing/2014/main" id="{1DBBD546-80A6-430C-9686-60BB063223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99582" y="16569418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109</xdr:row>
      <xdr:rowOff>229795</xdr:rowOff>
    </xdr:from>
    <xdr:ext cx="1308711" cy="430657"/>
    <xdr:pic>
      <xdr:nvPicPr>
        <xdr:cNvPr id="7" name="Imagen 6">
          <a:extLst>
            <a:ext uri="{FF2B5EF4-FFF2-40B4-BE49-F238E27FC236}">
              <a16:creationId xmlns:a16="http://schemas.microsoft.com/office/drawing/2014/main" id="{B620A338-CB82-4986-BD1B-5CFD62EBA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1618734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159532</xdr:colOff>
      <xdr:row>242</xdr:row>
      <xdr:rowOff>295275</xdr:rowOff>
    </xdr:from>
    <xdr:ext cx="1581919" cy="337797"/>
    <xdr:pic>
      <xdr:nvPicPr>
        <xdr:cNvPr id="8" name="Imagen 7">
          <a:extLst>
            <a:ext uri="{FF2B5EF4-FFF2-40B4-BE49-F238E27FC236}">
              <a16:creationId xmlns:a16="http://schemas.microsoft.com/office/drawing/2014/main" id="{16CC0A67-4791-48B5-8113-0D995E8242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21675" y="2379027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242</xdr:row>
      <xdr:rowOff>229795</xdr:rowOff>
    </xdr:from>
    <xdr:ext cx="1308711" cy="430657"/>
    <xdr:pic>
      <xdr:nvPicPr>
        <xdr:cNvPr id="9" name="Imagen 8">
          <a:extLst>
            <a:ext uri="{FF2B5EF4-FFF2-40B4-BE49-F238E27FC236}">
              <a16:creationId xmlns:a16="http://schemas.microsoft.com/office/drawing/2014/main" id="{8D43B308-58E7-4450-9A5C-0D7C502CE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2322949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181619</xdr:colOff>
      <xdr:row>254</xdr:row>
      <xdr:rowOff>295275</xdr:rowOff>
    </xdr:from>
    <xdr:ext cx="1581919" cy="337797"/>
    <xdr:pic>
      <xdr:nvPicPr>
        <xdr:cNvPr id="10" name="Imagen 9">
          <a:extLst>
            <a:ext uri="{FF2B5EF4-FFF2-40B4-BE49-F238E27FC236}">
              <a16:creationId xmlns:a16="http://schemas.microsoft.com/office/drawing/2014/main" id="{74074E5A-6C7F-4836-9E8E-030270C1B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43762" y="26384704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254</xdr:row>
      <xdr:rowOff>229795</xdr:rowOff>
    </xdr:from>
    <xdr:ext cx="1308711" cy="430657"/>
    <xdr:pic>
      <xdr:nvPicPr>
        <xdr:cNvPr id="11" name="Imagen 10">
          <a:extLst>
            <a:ext uri="{FF2B5EF4-FFF2-40B4-BE49-F238E27FC236}">
              <a16:creationId xmlns:a16="http://schemas.microsoft.com/office/drawing/2014/main" id="{5130F6CF-4432-4471-9ABB-821D8F77C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2577584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122456</xdr:colOff>
      <xdr:row>270</xdr:row>
      <xdr:rowOff>295275</xdr:rowOff>
    </xdr:from>
    <xdr:ext cx="1581919" cy="337797"/>
    <xdr:pic>
      <xdr:nvPicPr>
        <xdr:cNvPr id="12" name="Imagen 11">
          <a:extLst>
            <a:ext uri="{FF2B5EF4-FFF2-40B4-BE49-F238E27FC236}">
              <a16:creationId xmlns:a16="http://schemas.microsoft.com/office/drawing/2014/main" id="{C75E4D34-3231-46A0-B753-7BD27CA0C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4599" y="29650418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270</xdr:row>
      <xdr:rowOff>229795</xdr:rowOff>
    </xdr:from>
    <xdr:ext cx="1308711" cy="430657"/>
    <xdr:pic>
      <xdr:nvPicPr>
        <xdr:cNvPr id="13" name="Imagen 12">
          <a:extLst>
            <a:ext uri="{FF2B5EF4-FFF2-40B4-BE49-F238E27FC236}">
              <a16:creationId xmlns:a16="http://schemas.microsoft.com/office/drawing/2014/main" id="{6DD61105-EE50-4321-BE62-7BBF042E2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28988945"/>
          <a:ext cx="1308711" cy="430657"/>
        </a:xfrm>
        <a:prstGeom prst="rect">
          <a:avLst/>
        </a:prstGeom>
      </xdr:spPr>
    </xdr:pic>
    <xdr:clientData/>
  </xdr:oneCellAnchor>
  <xdr:oneCellAnchor>
    <xdr:from>
      <xdr:col>16</xdr:col>
      <xdr:colOff>143065</xdr:colOff>
      <xdr:row>299</xdr:row>
      <xdr:rowOff>292100</xdr:rowOff>
    </xdr:from>
    <xdr:ext cx="1581919" cy="337797"/>
    <xdr:pic>
      <xdr:nvPicPr>
        <xdr:cNvPr id="14" name="Imagen 13">
          <a:extLst>
            <a:ext uri="{FF2B5EF4-FFF2-40B4-BE49-F238E27FC236}">
              <a16:creationId xmlns:a16="http://schemas.microsoft.com/office/drawing/2014/main" id="{36AC8D7B-2541-49E4-9933-B6930F395D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5990" y="5390832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299</xdr:row>
      <xdr:rowOff>229795</xdr:rowOff>
    </xdr:from>
    <xdr:ext cx="1308711" cy="430657"/>
    <xdr:pic>
      <xdr:nvPicPr>
        <xdr:cNvPr id="15" name="Imagen 14">
          <a:extLst>
            <a:ext uri="{FF2B5EF4-FFF2-40B4-BE49-F238E27FC236}">
              <a16:creationId xmlns:a16="http://schemas.microsoft.com/office/drawing/2014/main" id="{CB56AA18-63C7-4744-882C-328F31EA2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3483094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125214</xdr:colOff>
      <xdr:row>337</xdr:row>
      <xdr:rowOff>295275</xdr:rowOff>
    </xdr:from>
    <xdr:ext cx="1581919" cy="337797"/>
    <xdr:pic>
      <xdr:nvPicPr>
        <xdr:cNvPr id="16" name="Imagen 15">
          <a:extLst>
            <a:ext uri="{FF2B5EF4-FFF2-40B4-BE49-F238E27FC236}">
              <a16:creationId xmlns:a16="http://schemas.microsoft.com/office/drawing/2014/main" id="{8527DC82-E6FD-44BC-9CA4-EC964FC2F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7357" y="43692989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120867</xdr:colOff>
      <xdr:row>337</xdr:row>
      <xdr:rowOff>229795</xdr:rowOff>
    </xdr:from>
    <xdr:ext cx="1308711" cy="430657"/>
    <xdr:pic>
      <xdr:nvPicPr>
        <xdr:cNvPr id="17" name="Imagen 16">
          <a:extLst>
            <a:ext uri="{FF2B5EF4-FFF2-40B4-BE49-F238E27FC236}">
              <a16:creationId xmlns:a16="http://schemas.microsoft.com/office/drawing/2014/main" id="{130DDD87-6C6E-4418-B287-206FCF660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3917" y="4290814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158740</xdr:colOff>
      <xdr:row>368</xdr:row>
      <xdr:rowOff>295275</xdr:rowOff>
    </xdr:from>
    <xdr:ext cx="1581919" cy="337797"/>
    <xdr:pic>
      <xdr:nvPicPr>
        <xdr:cNvPr id="18" name="Imagen 17">
          <a:extLst>
            <a:ext uri="{FF2B5EF4-FFF2-40B4-BE49-F238E27FC236}">
              <a16:creationId xmlns:a16="http://schemas.microsoft.com/office/drawing/2014/main" id="{DC25ADBB-26D2-485E-A985-EB5A5DA9F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20883" y="47992846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120867</xdr:colOff>
      <xdr:row>368</xdr:row>
      <xdr:rowOff>229795</xdr:rowOff>
    </xdr:from>
    <xdr:ext cx="1308711" cy="430657"/>
    <xdr:pic>
      <xdr:nvPicPr>
        <xdr:cNvPr id="19" name="Imagen 18">
          <a:extLst>
            <a:ext uri="{FF2B5EF4-FFF2-40B4-BE49-F238E27FC236}">
              <a16:creationId xmlns:a16="http://schemas.microsoft.com/office/drawing/2014/main" id="{522F8E48-F4C2-4921-A928-F77B88D53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3917" y="4714359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131917</xdr:colOff>
      <xdr:row>284</xdr:row>
      <xdr:rowOff>295275</xdr:rowOff>
    </xdr:from>
    <xdr:ext cx="1581919" cy="337797"/>
    <xdr:pic>
      <xdr:nvPicPr>
        <xdr:cNvPr id="20" name="Imagen 19">
          <a:extLst>
            <a:ext uri="{FF2B5EF4-FFF2-40B4-BE49-F238E27FC236}">
              <a16:creationId xmlns:a16="http://schemas.microsoft.com/office/drawing/2014/main" id="{A318F3F3-2650-49F7-84ED-A1AEA303F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94060" y="32589561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284</xdr:row>
      <xdr:rowOff>229795</xdr:rowOff>
    </xdr:from>
    <xdr:ext cx="1308711" cy="430657"/>
    <xdr:pic>
      <xdr:nvPicPr>
        <xdr:cNvPr id="21" name="Imagen 20">
          <a:extLst>
            <a:ext uri="{FF2B5EF4-FFF2-40B4-BE49-F238E27FC236}">
              <a16:creationId xmlns:a16="http://schemas.microsoft.com/office/drawing/2014/main" id="{DB69C9A5-5B97-42A4-BF47-A365002FF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31909945"/>
          <a:ext cx="1308711" cy="430657"/>
        </a:xfrm>
        <a:prstGeom prst="rect">
          <a:avLst/>
        </a:prstGeom>
      </xdr:spPr>
    </xdr:pic>
    <xdr:clientData/>
  </xdr:oneCellAnchor>
  <xdr:oneCellAnchor>
    <xdr:from>
      <xdr:col>16</xdr:col>
      <xdr:colOff>155369</xdr:colOff>
      <xdr:row>312</xdr:row>
      <xdr:rowOff>292100</xdr:rowOff>
    </xdr:from>
    <xdr:ext cx="1581919" cy="337797"/>
    <xdr:pic>
      <xdr:nvPicPr>
        <xdr:cNvPr id="22" name="Imagen 21">
          <a:extLst>
            <a:ext uri="{FF2B5EF4-FFF2-40B4-BE49-F238E27FC236}">
              <a16:creationId xmlns:a16="http://schemas.microsoft.com/office/drawing/2014/main" id="{0460C96D-C5F7-4A0C-8645-6CFC734CF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8294" y="56661050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312</xdr:row>
      <xdr:rowOff>229795</xdr:rowOff>
    </xdr:from>
    <xdr:ext cx="1308711" cy="430657"/>
    <xdr:pic>
      <xdr:nvPicPr>
        <xdr:cNvPr id="23" name="Imagen 22">
          <a:extLst>
            <a:ext uri="{FF2B5EF4-FFF2-40B4-BE49-F238E27FC236}">
              <a16:creationId xmlns:a16="http://schemas.microsoft.com/office/drawing/2014/main" id="{91DE2690-92D1-4C56-BA69-72F5EE290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37586845"/>
          <a:ext cx="1308711" cy="430657"/>
        </a:xfrm>
        <a:prstGeom prst="rect">
          <a:avLst/>
        </a:prstGeom>
      </xdr:spPr>
    </xdr:pic>
    <xdr:clientData/>
  </xdr:oneCellAnchor>
  <xdr:oneCellAnchor>
    <xdr:from>
      <xdr:col>16</xdr:col>
      <xdr:colOff>152591</xdr:colOff>
      <xdr:row>325</xdr:row>
      <xdr:rowOff>292100</xdr:rowOff>
    </xdr:from>
    <xdr:ext cx="1581919" cy="337797"/>
    <xdr:pic>
      <xdr:nvPicPr>
        <xdr:cNvPr id="24" name="Imagen 23">
          <a:extLst>
            <a:ext uri="{FF2B5EF4-FFF2-40B4-BE49-F238E27FC236}">
              <a16:creationId xmlns:a16="http://schemas.microsoft.com/office/drawing/2014/main" id="{ABC7A791-1817-4784-982C-300850688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5516" y="5941377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325</xdr:row>
      <xdr:rowOff>229795</xdr:rowOff>
    </xdr:from>
    <xdr:ext cx="1308711" cy="430657"/>
    <xdr:pic>
      <xdr:nvPicPr>
        <xdr:cNvPr id="25" name="Imagen 24">
          <a:extLst>
            <a:ext uri="{FF2B5EF4-FFF2-40B4-BE49-F238E27FC236}">
              <a16:creationId xmlns:a16="http://schemas.microsoft.com/office/drawing/2014/main" id="{2930CBA5-48F4-4594-8918-CF4BBD66E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308" y="4032369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145720</xdr:colOff>
      <xdr:row>388</xdr:row>
      <xdr:rowOff>295275</xdr:rowOff>
    </xdr:from>
    <xdr:ext cx="1581919" cy="337797"/>
    <xdr:pic>
      <xdr:nvPicPr>
        <xdr:cNvPr id="26" name="Imagen 25">
          <a:extLst>
            <a:ext uri="{FF2B5EF4-FFF2-40B4-BE49-F238E27FC236}">
              <a16:creationId xmlns:a16="http://schemas.microsoft.com/office/drawing/2014/main" id="{C6833329-3A5C-4825-9C5E-7A3F80E6F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7863" y="51521632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195411</xdr:colOff>
      <xdr:row>388</xdr:row>
      <xdr:rowOff>229795</xdr:rowOff>
    </xdr:from>
    <xdr:ext cx="1308711" cy="430657"/>
    <xdr:pic>
      <xdr:nvPicPr>
        <xdr:cNvPr id="27" name="Imagen 26">
          <a:extLst>
            <a:ext uri="{FF2B5EF4-FFF2-40B4-BE49-F238E27FC236}">
              <a16:creationId xmlns:a16="http://schemas.microsoft.com/office/drawing/2014/main" id="{027B757D-53F5-46EC-8C15-BF222B427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68461" y="5061069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157160</xdr:colOff>
      <xdr:row>359</xdr:row>
      <xdr:rowOff>229014</xdr:rowOff>
    </xdr:from>
    <xdr:ext cx="1581919" cy="337797"/>
    <xdr:pic>
      <xdr:nvPicPr>
        <xdr:cNvPr id="28" name="Imagen 27">
          <a:extLst>
            <a:ext uri="{FF2B5EF4-FFF2-40B4-BE49-F238E27FC236}">
              <a16:creationId xmlns:a16="http://schemas.microsoft.com/office/drawing/2014/main" id="{A4DBB6CF-201E-41AF-BC1E-E7F1214DB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9303" y="45849228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120867</xdr:colOff>
      <xdr:row>359</xdr:row>
      <xdr:rowOff>163534</xdr:rowOff>
    </xdr:from>
    <xdr:ext cx="1308711" cy="430657"/>
    <xdr:pic>
      <xdr:nvPicPr>
        <xdr:cNvPr id="29" name="Imagen 28">
          <a:extLst>
            <a:ext uri="{FF2B5EF4-FFF2-40B4-BE49-F238E27FC236}">
              <a16:creationId xmlns:a16="http://schemas.microsoft.com/office/drawing/2014/main" id="{4F51F2DA-781F-4E7D-84FC-2DE626AD9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3917" y="45032634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137439</xdr:colOff>
      <xdr:row>158</xdr:row>
      <xdr:rowOff>295275</xdr:rowOff>
    </xdr:from>
    <xdr:ext cx="1581919" cy="337797"/>
    <xdr:pic>
      <xdr:nvPicPr>
        <xdr:cNvPr id="30" name="Imagen 29">
          <a:extLst>
            <a:ext uri="{FF2B5EF4-FFF2-40B4-BE49-F238E27FC236}">
              <a16:creationId xmlns:a16="http://schemas.microsoft.com/office/drawing/2014/main" id="{E098572D-18D0-4B57-A727-D8D503781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1356" y="1629727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158</xdr:row>
      <xdr:rowOff>229795</xdr:rowOff>
    </xdr:from>
    <xdr:ext cx="1308711" cy="430657"/>
    <xdr:pic>
      <xdr:nvPicPr>
        <xdr:cNvPr id="31" name="Imagen 30">
          <a:extLst>
            <a:ext uri="{FF2B5EF4-FFF2-40B4-BE49-F238E27FC236}">
              <a16:creationId xmlns:a16="http://schemas.microsoft.com/office/drawing/2014/main" id="{27BD5A09-6999-424B-B15F-5D45D25305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5425" y="1623179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201866</xdr:colOff>
      <xdr:row>214</xdr:row>
      <xdr:rowOff>295275</xdr:rowOff>
    </xdr:from>
    <xdr:ext cx="1581919" cy="337797"/>
    <xdr:pic>
      <xdr:nvPicPr>
        <xdr:cNvPr id="32" name="Imagen 31">
          <a:extLst>
            <a:ext uri="{FF2B5EF4-FFF2-40B4-BE49-F238E27FC236}">
              <a16:creationId xmlns:a16="http://schemas.microsoft.com/office/drawing/2014/main" id="{1EA81C1A-44BE-47CA-B0A3-BB698009A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783" y="31177442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214</xdr:row>
      <xdr:rowOff>229795</xdr:rowOff>
    </xdr:from>
    <xdr:ext cx="1308711" cy="430657"/>
    <xdr:pic>
      <xdr:nvPicPr>
        <xdr:cNvPr id="33" name="Imagen 32">
          <a:extLst>
            <a:ext uri="{FF2B5EF4-FFF2-40B4-BE49-F238E27FC236}">
              <a16:creationId xmlns:a16="http://schemas.microsoft.com/office/drawing/2014/main" id="{4645C58E-D913-427C-A27E-5B29BCC71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5425" y="3274179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201866</xdr:colOff>
      <xdr:row>227</xdr:row>
      <xdr:rowOff>295275</xdr:rowOff>
    </xdr:from>
    <xdr:ext cx="1581919" cy="337797"/>
    <xdr:pic>
      <xdr:nvPicPr>
        <xdr:cNvPr id="36" name="Imagen 35">
          <a:extLst>
            <a:ext uri="{FF2B5EF4-FFF2-40B4-BE49-F238E27FC236}">
              <a16:creationId xmlns:a16="http://schemas.microsoft.com/office/drawing/2014/main" id="{F614767F-2858-4A11-A8C2-39CDDC83F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783" y="31177442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220258</xdr:colOff>
      <xdr:row>227</xdr:row>
      <xdr:rowOff>229795</xdr:rowOff>
    </xdr:from>
    <xdr:ext cx="1308711" cy="430657"/>
    <xdr:pic>
      <xdr:nvPicPr>
        <xdr:cNvPr id="37" name="Imagen 36">
          <a:extLst>
            <a:ext uri="{FF2B5EF4-FFF2-40B4-BE49-F238E27FC236}">
              <a16:creationId xmlns:a16="http://schemas.microsoft.com/office/drawing/2014/main" id="{C1564209-4FB8-4C88-86B3-143EE6B83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5425" y="31111962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167546</xdr:colOff>
      <xdr:row>408</xdr:row>
      <xdr:rowOff>295275</xdr:rowOff>
    </xdr:from>
    <xdr:ext cx="1581919" cy="337797"/>
    <xdr:pic>
      <xdr:nvPicPr>
        <xdr:cNvPr id="42" name="Imagen 41">
          <a:extLst>
            <a:ext uri="{FF2B5EF4-FFF2-40B4-BE49-F238E27FC236}">
              <a16:creationId xmlns:a16="http://schemas.microsoft.com/office/drawing/2014/main" id="{397947A4-3858-4F38-AD18-D21DCEDB9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91463" y="6693852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237283</xdr:colOff>
      <xdr:row>408</xdr:row>
      <xdr:rowOff>229795</xdr:rowOff>
    </xdr:from>
    <xdr:ext cx="1308711" cy="430657"/>
    <xdr:pic>
      <xdr:nvPicPr>
        <xdr:cNvPr id="43" name="Imagen 42">
          <a:extLst>
            <a:ext uri="{FF2B5EF4-FFF2-40B4-BE49-F238E27FC236}">
              <a16:creationId xmlns:a16="http://schemas.microsoft.com/office/drawing/2014/main" id="{E6048E6E-6FBE-4E93-9BB8-1EC6E21BD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2450" y="6687304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167546</xdr:colOff>
      <xdr:row>419</xdr:row>
      <xdr:rowOff>295275</xdr:rowOff>
    </xdr:from>
    <xdr:ext cx="1581919" cy="337797"/>
    <xdr:pic>
      <xdr:nvPicPr>
        <xdr:cNvPr id="44" name="Imagen 43">
          <a:extLst>
            <a:ext uri="{FF2B5EF4-FFF2-40B4-BE49-F238E27FC236}">
              <a16:creationId xmlns:a16="http://schemas.microsoft.com/office/drawing/2014/main" id="{1B871BAA-E239-4305-8868-BFDD93407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91463" y="6693852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237283</xdr:colOff>
      <xdr:row>419</xdr:row>
      <xdr:rowOff>229795</xdr:rowOff>
    </xdr:from>
    <xdr:ext cx="1308711" cy="430657"/>
    <xdr:pic>
      <xdr:nvPicPr>
        <xdr:cNvPr id="45" name="Imagen 44">
          <a:extLst>
            <a:ext uri="{FF2B5EF4-FFF2-40B4-BE49-F238E27FC236}">
              <a16:creationId xmlns:a16="http://schemas.microsoft.com/office/drawing/2014/main" id="{B8CC0ED4-C919-4F10-96F0-133F3F7E0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2450" y="6687304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167546</xdr:colOff>
      <xdr:row>433</xdr:row>
      <xdr:rowOff>295275</xdr:rowOff>
    </xdr:from>
    <xdr:ext cx="1581919" cy="337797"/>
    <xdr:pic>
      <xdr:nvPicPr>
        <xdr:cNvPr id="50" name="Imagen 49">
          <a:extLst>
            <a:ext uri="{FF2B5EF4-FFF2-40B4-BE49-F238E27FC236}">
              <a16:creationId xmlns:a16="http://schemas.microsoft.com/office/drawing/2014/main" id="{C9CC2BA0-0705-4F01-84A7-8ED0E767F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91463" y="6693852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237283</xdr:colOff>
      <xdr:row>433</xdr:row>
      <xdr:rowOff>229795</xdr:rowOff>
    </xdr:from>
    <xdr:ext cx="1308711" cy="430657"/>
    <xdr:pic>
      <xdr:nvPicPr>
        <xdr:cNvPr id="51" name="Imagen 50">
          <a:extLst>
            <a:ext uri="{FF2B5EF4-FFF2-40B4-BE49-F238E27FC236}">
              <a16:creationId xmlns:a16="http://schemas.microsoft.com/office/drawing/2014/main" id="{46E23EE8-D146-4F2B-AA56-C10609F58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2450" y="66873045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167546</xdr:colOff>
      <xdr:row>445</xdr:row>
      <xdr:rowOff>295275</xdr:rowOff>
    </xdr:from>
    <xdr:ext cx="1581919" cy="337797"/>
    <xdr:pic>
      <xdr:nvPicPr>
        <xdr:cNvPr id="52" name="Imagen 51">
          <a:extLst>
            <a:ext uri="{FF2B5EF4-FFF2-40B4-BE49-F238E27FC236}">
              <a16:creationId xmlns:a16="http://schemas.microsoft.com/office/drawing/2014/main" id="{3949FBE4-F4C6-42E5-B6FA-96DF54C9B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91463" y="68822358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237283</xdr:colOff>
      <xdr:row>445</xdr:row>
      <xdr:rowOff>229795</xdr:rowOff>
    </xdr:from>
    <xdr:ext cx="1308711" cy="430657"/>
    <xdr:pic>
      <xdr:nvPicPr>
        <xdr:cNvPr id="53" name="Imagen 52">
          <a:extLst>
            <a:ext uri="{FF2B5EF4-FFF2-40B4-BE49-F238E27FC236}">
              <a16:creationId xmlns:a16="http://schemas.microsoft.com/office/drawing/2014/main" id="{0D05AF1C-888E-4C5A-A820-64DCA6A24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2450" y="68756878"/>
          <a:ext cx="1308711" cy="430657"/>
        </a:xfrm>
        <a:prstGeom prst="rect">
          <a:avLst/>
        </a:prstGeom>
      </xdr:spPr>
    </xdr:pic>
    <xdr:clientData/>
  </xdr:oneCellAnchor>
  <xdr:oneCellAnchor>
    <xdr:from>
      <xdr:col>19</xdr:col>
      <xdr:colOff>125214</xdr:colOff>
      <xdr:row>348</xdr:row>
      <xdr:rowOff>295275</xdr:rowOff>
    </xdr:from>
    <xdr:ext cx="1581919" cy="337797"/>
    <xdr:pic>
      <xdr:nvPicPr>
        <xdr:cNvPr id="34" name="Imagen 33">
          <a:extLst>
            <a:ext uri="{FF2B5EF4-FFF2-40B4-BE49-F238E27FC236}">
              <a16:creationId xmlns:a16="http://schemas.microsoft.com/office/drawing/2014/main" id="{D0C682F0-3A1F-49DB-BF0B-BFA3EB609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1614" y="56524525"/>
          <a:ext cx="1581919" cy="337797"/>
        </a:xfrm>
        <a:prstGeom prst="rect">
          <a:avLst/>
        </a:prstGeom>
      </xdr:spPr>
    </xdr:pic>
    <xdr:clientData/>
  </xdr:oneCellAnchor>
  <xdr:oneCellAnchor>
    <xdr:from>
      <xdr:col>1</xdr:col>
      <xdr:colOff>120867</xdr:colOff>
      <xdr:row>348</xdr:row>
      <xdr:rowOff>229795</xdr:rowOff>
    </xdr:from>
    <xdr:ext cx="1308711" cy="430657"/>
    <xdr:pic>
      <xdr:nvPicPr>
        <xdr:cNvPr id="35" name="Imagen 34">
          <a:extLst>
            <a:ext uri="{FF2B5EF4-FFF2-40B4-BE49-F238E27FC236}">
              <a16:creationId xmlns:a16="http://schemas.microsoft.com/office/drawing/2014/main" id="{4292687B-490E-4DAC-8253-BAC46BAB2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3917" y="56459045"/>
          <a:ext cx="1308711" cy="430657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170732</xdr:colOff>
      <xdr:row>0</xdr:row>
      <xdr:rowOff>233632</xdr:rowOff>
    </xdr:from>
    <xdr:to>
      <xdr:col>2</xdr:col>
      <xdr:colOff>276026</xdr:colOff>
      <xdr:row>1</xdr:row>
      <xdr:rowOff>214304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FE78B21-2376-490F-B3F9-E0E8B7B7D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0732" y="233632"/>
          <a:ext cx="1753119" cy="43787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4760</xdr:colOff>
      <xdr:row>25</xdr:row>
      <xdr:rowOff>95251</xdr:rowOff>
    </xdr:from>
    <xdr:to>
      <xdr:col>14</xdr:col>
      <xdr:colOff>247649</xdr:colOff>
      <xdr:row>42</xdr:row>
      <xdr:rowOff>80964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A281178-A798-423B-A70E-86BA948D1C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4760</xdr:colOff>
      <xdr:row>43</xdr:row>
      <xdr:rowOff>104776</xdr:rowOff>
    </xdr:from>
    <xdr:to>
      <xdr:col>14</xdr:col>
      <xdr:colOff>247649</xdr:colOff>
      <xdr:row>60</xdr:row>
      <xdr:rowOff>95252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786CB57-9024-40C6-B429-77362F5EB6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4762</xdr:colOff>
      <xdr:row>61</xdr:row>
      <xdr:rowOff>95251</xdr:rowOff>
    </xdr:from>
    <xdr:to>
      <xdr:col>15</xdr:col>
      <xdr:colOff>0</xdr:colOff>
      <xdr:row>75</xdr:row>
      <xdr:rowOff>80964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983FCC1-4C2F-41BC-A7AB-A21512B1B8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7</xdr:row>
      <xdr:rowOff>95251</xdr:rowOff>
    </xdr:from>
    <xdr:to>
      <xdr:col>14</xdr:col>
      <xdr:colOff>247650</xdr:colOff>
      <xdr:row>24</xdr:row>
      <xdr:rowOff>80964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F253ADD-3B5D-4CFB-B307-85B268AC32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5</xdr:col>
      <xdr:colOff>95250</xdr:colOff>
      <xdr:row>3</xdr:row>
      <xdr:rowOff>28575</xdr:rowOff>
    </xdr:from>
    <xdr:to>
      <xdr:col>7</xdr:col>
      <xdr:colOff>473354</xdr:colOff>
      <xdr:row>5</xdr:row>
      <xdr:rowOff>143675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9EF725F-69E1-4D60-946C-910C53079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524250" y="514350"/>
          <a:ext cx="1749704" cy="4389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65CA3CA-EE67-467A-B313-AF364918E82C}" name="Tabla15612172227" displayName="Tabla15612172227" ref="A5:U28" totalsRowShown="0" headerRowDxfId="844" dataDxfId="843">
  <autoFilter ref="A5:U28" xr:uid="{533F8B80-D347-42BD-9798-A4AF8CC6A183}"/>
  <sortState xmlns:xlrd2="http://schemas.microsoft.com/office/spreadsheetml/2017/richdata2" ref="A6:U24">
    <sortCondition ref="A5:A24"/>
  </sortState>
  <tableColumns count="21">
    <tableColumn id="1" xr3:uid="{F188D306-32C9-49B7-A693-C5887FEFA1CA}" name="POS" dataDxfId="842"/>
    <tableColumn id="2" xr3:uid="{1228A55D-3A94-41AB-B142-56C33D321C13}" name="Nº" dataDxfId="841"/>
    <tableColumn id="3" xr3:uid="{D4AE7304-9408-4AFD-9683-C5AD8FF10D54}" name="Escudería" dataDxfId="840"/>
    <tableColumn id="4" xr3:uid="{72894E31-3AFE-41E1-A989-00CA9622191E}" name="Piloto" dataDxfId="839"/>
    <tableColumn id="5" xr3:uid="{E844FE0F-8150-4440-8E79-88127D96FC4C}" name="Fed." dataDxfId="838"/>
    <tableColumn id="6" xr3:uid="{198E1C7B-D722-47D5-9CCF-388F4DFC7F09}" name="Piloto2" dataDxfId="837"/>
    <tableColumn id="7" xr3:uid="{5AD884B5-3FC7-4F80-8DDE-C6B2EB7A2D8A}" name="Fed.2" dataDxfId="836"/>
    <tableColumn id="8" xr3:uid="{98227FA1-B04F-4E3C-BDAF-CD93903EABF7}" name="Vehículo" dataDxfId="835"/>
    <tableColumn id="9" xr3:uid="{825CC45E-2CB0-4000-9776-BD7A4735330A}" name="Grupo" dataDxfId="834"/>
    <tableColumn id="10" xr3:uid="{94360735-C2A1-4918-9705-E93DA9BA85C2}" name="Clase" dataDxfId="833"/>
    <tableColumn id="11" xr3:uid="{BFC05FA6-B173-4E46-8299-C594A12C098F}" name="Tiempo" dataDxfId="832"/>
    <tableColumn id="15" xr3:uid="{67AC20AF-C371-4F80-BF18-54D664A10CD7}" name="CLAS SCRATCH" dataDxfId="831">
      <calculatedColumnFormula>IF(AND(E6="M",Tabla15612172227[[#This Row],[POS]]&lt;&gt;"AB",Tabla15612172227[[#This Row],[POS]]&lt;&gt;"DSQ"),COUNTIF($E$6:E6,"M"),"")</calculatedColumnFormula>
    </tableColumn>
    <tableColumn id="16" xr3:uid="{D71DAAFA-23F7-4650-AC89-982D755C5B32}" name="Puntos scratch" dataDxfId="830">
      <calculatedColumnFormula>IF(E6="M",IF(Tabla15612172227[[#This Row],[Tiempo]]="AB","",LOOKUP(Tabla15612172227[[#This Row],[CLAS SCRATCH]],'Datos puntos'!$A$2:$A$23,'Datos puntos'!$B$2:$B$23)),"")</calculatedColumnFormula>
    </tableColumn>
    <tableColumn id="17" xr3:uid="{B8FF5DE1-737E-4937-AF79-40497F33DF49}" name="CLAS CLASE" dataDxfId="829">
      <calculatedColumnFormula>IF(AND(E6="M",Tabla15612172227[[#This Row],[POS]]&lt;&gt;"AB",Tabla15612172227[[#This Row],[POS]]&lt;&gt;"DSQ"),COUNTIFS($J$6:J6,Tabla15612172227[[#This Row],[Clase]],$E$6:E6,"M"),"")</calculatedColumnFormula>
    </tableColumn>
    <tableColumn id="18" xr3:uid="{D57A59B0-C814-42F6-B1FA-C36DC82741E4}" name="Puntos clase" dataDxfId="828">
      <calculatedColumnFormula>IF(E6="M",IF(Tabla15612172227[[#This Row],[Tiempo]]="AB","",LOOKUP(Tabla15612172227[[#This Row],[CLAS CLASE]],'Datos puntos'!$A$25:$A$53,'Datos puntos'!$B$25:$B$53)),"")</calculatedColumnFormula>
    </tableColumn>
    <tableColumn id="19" xr3:uid="{5E71EE90-F444-422D-A628-A2E18873D56E}" name="Suma de comprobación" dataDxfId="827">
      <calculatedColumnFormula>IF(Tabla15612172227[[#This Row],[Puntos scratch]]="","NO PUNTÚA",SUM(Tabla15612172227[[#This Row],[Puntos scratch]],Tabla15612172227[[#This Row],[Puntos clase]])*2)</calculatedColumnFormula>
    </tableColumn>
    <tableColumn id="20" xr3:uid="{C207E16A-863C-4D9D-8E08-5C09D5E313F5}" name="CLAS SCRATCH2" dataDxfId="826">
      <calculatedColumnFormula>IF(AND(G6="M",Tabla15612172227[[#This Row],[POS]]&lt;&gt;"AB",Tabla15612172227[[#This Row],[POS]]&lt;&gt;"DSQ"),COUNTIF($G$6:G6,"M"),"")</calculatedColumnFormula>
    </tableColumn>
    <tableColumn id="21" xr3:uid="{3A67D301-E232-49C4-9D28-13411F8D746F}" name="Puntos scratch3" dataDxfId="825">
      <calculatedColumnFormula>IF(G6="M",IF(Tabla15612172227[[#This Row],[Tiempo]]="AB","",LOOKUP(Tabla15612172227[[#This Row],[CLAS SCRATCH2]],'Datos puntos'!$A$2:$A$23,'Datos puntos'!$B$2:$B$23)),"")</calculatedColumnFormula>
    </tableColumn>
    <tableColumn id="22" xr3:uid="{E4119F04-96B8-4C04-A0E1-3CAD17ED8EE4}" name="CLAS CLASE2" dataDxfId="824">
      <calculatedColumnFormula>IF(AND(G6="M",Tabla15612172227[[#This Row],[POS]]&lt;&gt;"AB",Tabla15612172227[[#This Row],[POS]]&lt;&gt;"DSQ"),COUNTIFS($J$6:J6,Tabla15612172227[[#This Row],[Clase]],$G$6:G6,"M"),"")</calculatedColumnFormula>
    </tableColumn>
    <tableColumn id="23" xr3:uid="{6F15A171-B389-44ED-A456-A5A8854CC652}" name="Puntos clase5" dataDxfId="823">
      <calculatedColumnFormula>IF(G6="M",IF(Tabla15612172227[[#This Row],[Tiempo]]="AB","",LOOKUP(Tabla15612172227[[#This Row],[CLAS CLASE2]],'Datos puntos'!$A$25:$A$53,'Datos puntos'!$B$25:$B$53)),"")</calculatedColumnFormula>
    </tableColumn>
    <tableColumn id="24" xr3:uid="{E3911129-2656-4EA6-B274-AE218D158062}" name="Suma de comprobación6" dataDxfId="822">
      <calculatedColumnFormula>IF(Tabla15612172227[[#This Row],[Puntos scratch3]]="","NO PUNTÚA",SUM(Tabla15612172227[[#This Row],[Puntos scratch3]],Tabla15612172227[[#This Row],[Puntos clase5]])*2)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2F56BE85-77B8-4345-886F-3927182CA3EA}" name="Tabla2713182328" displayName="Tabla2713182328" ref="A43:U47" totalsRowShown="0" headerRowDxfId="821" dataDxfId="820">
  <autoFilter ref="A43:U47" xr:uid="{89EBD1D5-DA63-45BC-9383-CB3B241F2AEE}"/>
  <sortState xmlns:xlrd2="http://schemas.microsoft.com/office/spreadsheetml/2017/richdata2" ref="A44:K45">
    <sortCondition ref="K43:K45"/>
  </sortState>
  <tableColumns count="21">
    <tableColumn id="1" xr3:uid="{4CE503F9-8AEB-4C04-8ECA-22E2EB82633E}" name="POS" dataDxfId="819" dataCellStyle="Normal 20"/>
    <tableColumn id="2" xr3:uid="{0DADEC24-460A-429B-9D29-9DA2305DAE6A}" name="Nº" dataDxfId="818"/>
    <tableColumn id="3" xr3:uid="{22561FF8-DDB2-47F3-9440-AAFE44959E7A}" name="Escudería" dataDxfId="817"/>
    <tableColumn id="4" xr3:uid="{6DF72E68-B5D5-4FC3-8898-AEEE41CE4182}" name="Piloto" dataDxfId="816"/>
    <tableColumn id="5" xr3:uid="{1704C8A0-8B5E-4AF8-B892-9E0BA47AB306}" name="Fed." dataDxfId="815"/>
    <tableColumn id="6" xr3:uid="{5C3309C0-3E0B-4FEC-B026-F768C6BC9E4E}" name="Copiloto" dataDxfId="814"/>
    <tableColumn id="7" xr3:uid="{0754C82D-7F26-44D6-A2D1-2DDA6F12B9FD}" name="Fed.2" dataDxfId="813"/>
    <tableColumn id="8" xr3:uid="{91F5896A-37C8-4C99-9ADB-48BFA47841E9}" name="Vehículo" dataDxfId="812"/>
    <tableColumn id="9" xr3:uid="{D7BCA770-E594-48BB-A1DE-1937B1E5A324}" name="Grupo" dataDxfId="811"/>
    <tableColumn id="10" xr3:uid="{1A08F30D-ECBD-46BC-9511-D491E37B8201}" name="Clase" dataDxfId="810"/>
    <tableColumn id="11" xr3:uid="{FE3128EF-D823-4F3D-8B50-3F688BA7B577}" name="Tiempo" dataDxfId="809"/>
    <tableColumn id="15" xr3:uid="{07E3AEF9-58CE-4832-A97E-D8F54EC15A4D}" name="CLAS SCRATCH" dataDxfId="808">
      <calculatedColumnFormula>IF(AND(E44="M",Tabla2713182328[[#This Row],[POS]]&lt;&gt;"AB",Tabla2713182328[[#This Row],[POS]]&lt;&gt;"DSQ"),COUNTIF($E$44:E44,"M"),"")</calculatedColumnFormula>
    </tableColumn>
    <tableColumn id="16" xr3:uid="{D538E74D-4910-486A-B564-BBA7E9B92FB6}" name="Puntos scratch" dataDxfId="807">
      <calculatedColumnFormula>IF(E44="M",IF(Tabla2713182328[[#This Row],[Tiempo]]="AB","",LOOKUP(Tabla2713182328[[#This Row],[CLAS SCRATCH]],'Datos puntos'!$A$2:$A$23,'Datos puntos'!$B$2:$B$23)),"")</calculatedColumnFormula>
    </tableColumn>
    <tableColumn id="17" xr3:uid="{F59EA41F-9D84-4C51-B6A7-DFBDA91C0DFE}" name="CLAS CLASE" dataDxfId="806">
      <calculatedColumnFormula>Tabla2713182328[[#This Row],[CLAS SCRATCH]]</calculatedColumnFormula>
    </tableColumn>
    <tableColumn id="18" xr3:uid="{4175EE46-D249-4925-9696-80472AD79553}" name="Puntos clase" dataDxfId="805">
      <calculatedColumnFormula>IF(E44="M",IF(Tabla2713182328[[#This Row],[Tiempo]]="AB","",LOOKUP(Tabla2713182328[[#This Row],[CLAS CLASE]],'Datos puntos'!$A$25:$A$53,'Datos puntos'!$B$25:$B$53)),"")</calculatedColumnFormula>
    </tableColumn>
    <tableColumn id="19" xr3:uid="{25667007-536F-441C-A22A-BB6452EB7B97}" name="Suma de comprobación" dataDxfId="804">
      <calculatedColumnFormula>IF(Tabla2713182328[[#This Row],[Puntos scratch]]="","NO PUNTÚA",SUM(Tabla2713182328[[#This Row],[Puntos scratch]],Tabla2713182328[[#This Row],[Puntos clase]])*2)</calculatedColumnFormula>
    </tableColumn>
    <tableColumn id="20" xr3:uid="{14833470-E8E3-4E09-BD5F-8C2537F089DC}" name="CLAS SCRATCH2" dataDxfId="803">
      <calculatedColumnFormula>IF(AND(G44="M",Tabla2713182328[[#This Row],[POS]]&lt;&gt;"AB",Tabla2713182328[[#This Row],[POS]]&lt;&gt;"DSQ"),COUNTIF($G$44:G44,"M"),"")</calculatedColumnFormula>
    </tableColumn>
    <tableColumn id="21" xr3:uid="{8815C294-5A9A-473D-8D45-D3DCB8F13E85}" name="Puntos scratch3" dataDxfId="802">
      <calculatedColumnFormula>IF(G44="M",IF(Tabla2713182328[[#This Row],[Tiempo]]="AB","",LOOKUP(Tabla2713182328[[#This Row],[CLAS SCRATCH2]],'Datos puntos'!$A$2:$A$23,'Datos puntos'!$B$2:$B$23)),"")</calculatedColumnFormula>
    </tableColumn>
    <tableColumn id="22" xr3:uid="{895FC1C1-A043-402B-9D6D-D7342262E9A2}" name="CLAS CLASE2" dataDxfId="801">
      <calculatedColumnFormula>Tabla2713182328[[#This Row],[CLAS SCRATCH2]]</calculatedColumnFormula>
    </tableColumn>
    <tableColumn id="23" xr3:uid="{57A7E1E2-0296-407F-AEAD-7ABD956C7AAD}" name="Puntos clase5" dataDxfId="800">
      <calculatedColumnFormula>IF(G44="M",IF(Tabla2713182328[[#This Row],[Tiempo]]="AB","",LOOKUP(Tabla2713182328[[#This Row],[CLAS CLASE2]],'Datos puntos'!$A$25:$A$53,'Datos puntos'!$B$25:$B$53)),"")</calculatedColumnFormula>
    </tableColumn>
    <tableColumn id="24" xr3:uid="{71992284-6D5D-4985-836D-CFFD60BD55B3}" name="Suma de comprobación6" dataDxfId="799">
      <calculatedColumnFormula>IF(Tabla2713182328[[#This Row],[Puntos scratch]]="","NO PUNTÚA",SUM(Tabla2713182328[[#This Row],[Puntos scratch]],Tabla2713182328[[#This Row],[Puntos clase]])*2)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D8CBB8AF-68ED-45F0-BBE5-29EABE3F5404}" name="Tabla32914192429" displayName="Tabla32914192429" ref="A31:U35" totalsRowShown="0" headerRowDxfId="798" dataDxfId="797" tableBorderDxfId="796">
  <autoFilter ref="A31:U35" xr:uid="{1ED47680-F9B8-4F7B-A508-875156995796}"/>
  <sortState xmlns:xlrd2="http://schemas.microsoft.com/office/spreadsheetml/2017/richdata2" ref="A32:U34">
    <sortCondition ref="A31:A34"/>
  </sortState>
  <tableColumns count="21">
    <tableColumn id="1" xr3:uid="{8B4CBBDF-D19E-40B1-9E69-306F674E9897}" name="POS" dataDxfId="795"/>
    <tableColumn id="2" xr3:uid="{2AC2B29F-7AAA-4DD9-A91F-42549D5FBBA9}" name="Nº" dataDxfId="794"/>
    <tableColumn id="3" xr3:uid="{A07A8718-E375-4A8B-893A-D4BF0DFE2CBD}" name="Escudería" dataDxfId="793"/>
    <tableColumn id="4" xr3:uid="{49FE5568-80B4-4133-8D42-F91097B35D49}" name="Piloto" dataDxfId="792"/>
    <tableColumn id="5" xr3:uid="{8844586E-CA82-437F-912F-206D83BBBF45}" name="Fed." dataDxfId="791"/>
    <tableColumn id="6" xr3:uid="{4CCBAFAC-5F12-4B05-8552-8EE9EB6B5D8A}" name="Copiloto" dataDxfId="790"/>
    <tableColumn id="7" xr3:uid="{A49F7CED-359C-46CA-991D-A11FAABEB613}" name="Fed.2" dataDxfId="789"/>
    <tableColumn id="8" xr3:uid="{D406EBCA-A9C6-4A94-A0C1-0600DB5100CA}" name="Vehículo" dataDxfId="788"/>
    <tableColumn id="9" xr3:uid="{B0E4046D-181E-4856-A123-9C166C1F9C9A}" name="Grupo" dataDxfId="787"/>
    <tableColumn id="10" xr3:uid="{873F7F30-F4E0-43F1-946D-AA7445753D32}" name="Clase" dataDxfId="786"/>
    <tableColumn id="11" xr3:uid="{F4AEC35C-8549-41CD-8172-027F4A99F0C0}" name="Tiempo" dataDxfId="785"/>
    <tableColumn id="15" xr3:uid="{E1C30814-174F-4AF7-AB89-C60D5A7B56C4}" name="CLAS SCRATCH" dataDxfId="784">
      <calculatedColumnFormula>IF(AND(E32="M",Tabla32914192429[[#This Row],[POS]]&lt;&gt;"AB",Tabla32914192429[[#This Row],[POS]]&lt;&gt;"DSQ"),COUNTIF($E$32:E32,"M"),"")</calculatedColumnFormula>
    </tableColumn>
    <tableColumn id="16" xr3:uid="{E2A2E2FB-CD7F-4A7F-8305-6E497CF91734}" name="Puntos scratch" dataDxfId="783">
      <calculatedColumnFormula>IF(E32="M",IF(Tabla32914192429[[#This Row],[Tiempo]]="AB","",LOOKUP(Tabla32914192429[[#This Row],[CLAS SCRATCH]],'Datos puntos'!$A$2:$A$23,'Datos puntos'!$B$2:$B$23)),"")</calculatedColumnFormula>
    </tableColumn>
    <tableColumn id="17" xr3:uid="{6B0B0E0A-6CBD-4F54-B428-F99D30DD3CE5}" name="CLAS CLASE" dataDxfId="782">
      <calculatedColumnFormula>Tabla32914192429[[#This Row],[CLAS SCRATCH]]</calculatedColumnFormula>
    </tableColumn>
    <tableColumn id="18" xr3:uid="{08A41E98-CDD1-49A5-B175-ED2EDBBFF962}" name="Puntos clase" dataDxfId="781">
      <calculatedColumnFormula>IF(E32="M",IF(Tabla32914192429[[#This Row],[Tiempo]]="AB","",LOOKUP(Tabla32914192429[[#This Row],[CLAS CLASE]],'Datos puntos'!$A$25:$A$53,'Datos puntos'!$B$25:$B$53)),"")</calculatedColumnFormula>
    </tableColumn>
    <tableColumn id="19" xr3:uid="{4C11F37F-848A-46F6-9DEF-5DD2259BA0AF}" name="Suma de comprobación" dataDxfId="780">
      <calculatedColumnFormula>IF(Tabla32914192429[[#This Row],[Puntos scratch]]="","NO PUNTÚA",SUM(Tabla32914192429[[#This Row],[Puntos scratch]],Tabla32914192429[[#This Row],[Puntos clase]])*2)</calculatedColumnFormula>
    </tableColumn>
    <tableColumn id="20" xr3:uid="{8F80CA1A-1BCC-4894-8F5E-901070508FEE}" name="CLAS SCRATCH2" dataDxfId="779">
      <calculatedColumnFormula>IF(AND(G32="M",Tabla32914192429[[#This Row],[POS]]&lt;&gt;"AB",Tabla32914192429[[#This Row],[POS]]&lt;&gt;"DSQ"),COUNTIF($G$32:G32,"M"),"")</calculatedColumnFormula>
    </tableColumn>
    <tableColumn id="21" xr3:uid="{C173820B-4C13-416B-B679-C23A4548FAC5}" name="Puntos scratch3" dataDxfId="778">
      <calculatedColumnFormula>IF(G32="M",IF(Tabla32914192429[[#This Row],[Tiempo]]="AB","",LOOKUP(Tabla32914192429[[#This Row],[CLAS SCRATCH2]],'Datos puntos'!$A$2:$A$23,'Datos puntos'!$B$2:$B$23)),"")</calculatedColumnFormula>
    </tableColumn>
    <tableColumn id="22" xr3:uid="{6E8C7EAF-4F03-4A7F-9CAB-58593C293357}" name="CLAS CLASE2" dataDxfId="777">
      <calculatedColumnFormula>Tabla32914192429[[#This Row],[CLAS SCRATCH2]]</calculatedColumnFormula>
    </tableColumn>
    <tableColumn id="23" xr3:uid="{4047CB7E-8A6B-4D2B-8C40-CA13A2EB56EE}" name="Puntos clase5" dataDxfId="776">
      <calculatedColumnFormula>IF(G32="M",IF(Tabla32914192429[[#This Row],[Tiempo]]="AB","",LOOKUP(Tabla32914192429[[#This Row],[CLAS CLASE2]],'Datos puntos'!$A$25:$A$53,'Datos puntos'!$B$25:$B$53)),"")</calculatedColumnFormula>
    </tableColumn>
    <tableColumn id="24" xr3:uid="{4C12DD33-C7C2-4B61-A43F-07E5CBAE472C}" name="Suma de comprobación6" dataDxfId="775">
      <calculatedColumnFormula>IF(Tabla32914192429[[#This Row],[Puntos scratch3]]="","NO PUNTÚA",SUM(Tabla32914192429[[#This Row],[Puntos scratch3]],Tabla32914192429[[#This Row],[Puntos clase5]])*2)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98230811-45BB-4077-8394-7EC868CDD7C6}" name="Tabla71015202530" displayName="Tabla71015202530" ref="A37:U40" totalsRowShown="0">
  <autoFilter ref="A37:U40" xr:uid="{FED10FF5-A9BB-4B41-A0B8-2F909777C2DC}"/>
  <tableColumns count="21">
    <tableColumn id="1" xr3:uid="{4CA1B6FB-4004-47EB-8663-295916A5F8D9}" name="POS" dataDxfId="774" dataCellStyle="Normal 19"/>
    <tableColumn id="2" xr3:uid="{C6652AFF-9367-4AD0-9C88-04ECF0CF1B89}" name="Nº" dataDxfId="773" dataCellStyle="Normal 19"/>
    <tableColumn id="3" xr3:uid="{8C288F9A-E87A-4B28-88FF-56F84A9689D1}" name="Escudería" dataDxfId="772" dataCellStyle="Normal 19"/>
    <tableColumn id="4" xr3:uid="{01BFCE7C-450C-4894-B832-B4939191F3D8}" name="Piloto" dataDxfId="771" dataCellStyle="Normal 19"/>
    <tableColumn id="5" xr3:uid="{5DBF800E-6648-4267-A882-DE8882D9B3B4}" name="Fed" dataDxfId="770" dataCellStyle="Normal 19"/>
    <tableColumn id="6" xr3:uid="{FFEF5A95-22BE-48EE-B456-45B28BD8D9F4}" name="Copiloto" dataDxfId="769" dataCellStyle="Normal 19"/>
    <tableColumn id="7" xr3:uid="{5A87B0C6-BDE3-453F-BD70-172490509D9A}" name="Fed2" dataDxfId="768" dataCellStyle="Normal 19"/>
    <tableColumn id="8" xr3:uid="{CDD34A44-C82E-4F0E-AD87-81277B464D85}" name="Vehículo" dataDxfId="767" dataCellStyle="Normal 19"/>
    <tableColumn id="9" xr3:uid="{9F861B7D-8394-47A4-A265-4DFB205D1DFA}" name="Grupo" dataDxfId="766" dataCellStyle="Normal 19"/>
    <tableColumn id="10" xr3:uid="{C9A42460-D58B-4F6B-ACA5-A2D8B5464798}" name="Clase" dataDxfId="765" dataCellStyle="Normal 19"/>
    <tableColumn id="11" xr3:uid="{2FC8DFC8-F1A2-4A0A-8542-152FFBA086CF}" name="Tiempo" dataDxfId="764" dataCellStyle="Normal 19"/>
    <tableColumn id="15" xr3:uid="{45A3655C-DDF3-442F-810F-F8851A8F0FBC}" name="CLAS SCRATCH" dataDxfId="763" dataCellStyle="Normal 19">
      <calculatedColumnFormula>IF(AND(E38="M",Tabla71015202530[[#This Row],[POS]]&lt;&gt;"AB",Tabla71015202530[[#This Row],[POS]]&lt;&gt;"DSQ"),COUNTIF($E$38:E38,"M"),"")</calculatedColumnFormula>
    </tableColumn>
    <tableColumn id="16" xr3:uid="{0BF1C99F-3FC1-4891-B116-93A189B7B11E}" name="Puntos scratch" dataDxfId="762" dataCellStyle="Normal 19">
      <calculatedColumnFormula>IF(E38="M",IF(Tabla71015202530[[#This Row],[Tiempo]]="AB","",LOOKUP(Tabla71015202530[[#This Row],[CLAS SCRATCH]],'Datos puntos'!$A$2:$A$23,'Datos puntos'!$B$2:$B$23)),"")</calculatedColumnFormula>
    </tableColumn>
    <tableColumn id="17" xr3:uid="{6B9240E2-53C1-445F-8CB7-A037AECB2CD1}" name="CLAS CLASE" dataDxfId="761" dataCellStyle="Normal 19">
      <calculatedColumnFormula>Tabla71015202530[[#This Row],[CLAS SCRATCH]]</calculatedColumnFormula>
    </tableColumn>
    <tableColumn id="18" xr3:uid="{7C4249EA-705E-49E1-B05C-58D5EA554442}" name="Puntos clase" dataDxfId="760" dataCellStyle="Normal 19">
      <calculatedColumnFormula>IF(E38="M",IF(Tabla71015202530[[#This Row],[Tiempo]]="AB","",LOOKUP(Tabla71015202530[[#This Row],[CLAS CLASE]],'Datos puntos'!$A$25:$A$53,'Datos puntos'!$B$25:$B$53)),"")</calculatedColumnFormula>
    </tableColumn>
    <tableColumn id="19" xr3:uid="{19AF0E0C-6592-48B5-A7A7-C66A6371BFFF}" name="Suma de comprobación" dataDxfId="759" dataCellStyle="Normal 19">
      <calculatedColumnFormula>IF(Tabla71015202530[[#This Row],[Puntos scratch]]="","NO PUNTÚA",SUM(Tabla71015202530[[#This Row],[Puntos scratch]],Tabla71015202530[[#This Row],[Puntos clase]])*2)</calculatedColumnFormula>
    </tableColumn>
    <tableColumn id="20" xr3:uid="{AA40D39F-0684-446B-9AC5-DB43F41CE4A9}" name="CLAS SCRATCH2" dataDxfId="758" dataCellStyle="Normal 19">
      <calculatedColumnFormula>IF(AND(G38="M",Tabla71015202530[[#This Row],[POS]]&lt;&gt;"AB",Tabla71015202530[[#This Row],[POS]]&lt;&gt;"DSQ"),COUNTIF($G$38:G38,"M"),"")</calculatedColumnFormula>
    </tableColumn>
    <tableColumn id="21" xr3:uid="{40AE158A-EA02-4A89-AF3B-97F0445EFA01}" name="Puntos scratch3" dataDxfId="757" dataCellStyle="Normal 19">
      <calculatedColumnFormula>IF(G38="M",IF(Tabla71015202530[[#This Row],[Tiempo]]="AB","",LOOKUP(Tabla71015202530[[#This Row],[CLAS SCRATCH2]],'Datos puntos'!$A$2:$A$23,'Datos puntos'!$B$2:$B$23)),"")</calculatedColumnFormula>
    </tableColumn>
    <tableColumn id="22" xr3:uid="{D1A41360-2991-4F68-9C82-EF5A66646616}" name="CLAS CLASE2" dataDxfId="756" dataCellStyle="Normal 19">
      <calculatedColumnFormula>Tabla71015202530[[#This Row],[CLAS SCRATCH2]]</calculatedColumnFormula>
    </tableColumn>
    <tableColumn id="23" xr3:uid="{EA1116F7-3C6E-46B4-BF48-072BAB16330B}" name="Puntos clase5" dataDxfId="755" dataCellStyle="Normal 19">
      <calculatedColumnFormula>IF(G38="M",IF(Tabla71015202530[[#This Row],[Tiempo]]="AB","",LOOKUP(Tabla71015202530[[#This Row],[CLAS CLASE2]],'Datos puntos'!$A$25:$A$53,'Datos puntos'!$B$25:$B$53)),"")</calculatedColumnFormula>
    </tableColumn>
    <tableColumn id="24" xr3:uid="{537857B8-04B7-4035-892A-68F3A52F2AC3}" name="Suma de comprobación6" dataDxfId="754" dataCellStyle="Normal 19">
      <calculatedColumnFormula>IF(Tabla71015202530[[#This Row],[Puntos scratch3]]="","NO PUNTÚA",SUM(Tabla71015202530[[#This Row],[Puntos scratch3]],Tabla71015202530[[#This Row],[Puntos clase5]])*2)</calculatedColumnFormula>
    </tableColumn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96E71E5-1197-4774-9DA6-1044AE6F1046}" name="Tabla231116212631" displayName="Tabla231116212631" ref="A50:N52" totalsRowShown="0" headerRowDxfId="753" dataDxfId="752">
  <autoFilter ref="A50:N52" xr:uid="{0CBC37F1-62DF-484C-B192-DC95846F7E8D}"/>
  <sortState xmlns:xlrd2="http://schemas.microsoft.com/office/spreadsheetml/2017/richdata2" ref="A51:I51">
    <sortCondition ref="I43:I45"/>
  </sortState>
  <tableColumns count="14">
    <tableColumn id="1" xr3:uid="{6974C147-2F5A-4EF7-97AD-AF0B86FCC2DF}" name="POS" dataDxfId="751" dataCellStyle="Normal 20"/>
    <tableColumn id="2" xr3:uid="{06273DE3-9636-4A65-89B1-94337CE98D48}" name="Nº" dataDxfId="750"/>
    <tableColumn id="3" xr3:uid="{EEC94F61-50D9-43D6-8EA1-DAD43454D6F6}" name="Escudería" dataDxfId="749" dataCellStyle="Normal 20"/>
    <tableColumn id="4" xr3:uid="{A9C6D2C9-48B4-46DC-BB50-6163A0A88238}" name="Tripulante" dataDxfId="748"/>
    <tableColumn id="5" xr3:uid="{E8728710-3D20-483E-A081-72F4021C2E4B}" name="Fed." dataDxfId="747"/>
    <tableColumn id="8" xr3:uid="{2CE0B412-06C4-4FDF-ABCD-D455C250686D}" name="Vehículo" dataDxfId="746" dataCellStyle="Normal 20"/>
    <tableColumn id="9" xr3:uid="{3169319D-F30C-4390-987D-2BB2CB4E7A4E}" name="Grupo" dataDxfId="745" dataCellStyle="Normal 20"/>
    <tableColumn id="10" xr3:uid="{EF88A5E1-E540-481B-B5D3-ABF9C3B49F92}" name="Clase" dataDxfId="744"/>
    <tableColumn id="11" xr3:uid="{59A137F0-BFA2-4444-9015-EB181A0260D3}" name="Tiempo" dataDxfId="743"/>
    <tableColumn id="15" xr3:uid="{EB4A2177-3C7A-4029-A8C8-07D1CF6CCF05}" name="CLAS SCRATCH" dataDxfId="742">
      <calculatedColumnFormula>IF(AND(E51="M",Tabla231116212631[[#This Row],[POS]]&lt;&gt;"AB",Tabla231116212631[[#This Row],[POS]]&lt;&gt;"DSQ"),COUNTIF($E$51:E51,"M"),"")</calculatedColumnFormula>
    </tableColumn>
    <tableColumn id="16" xr3:uid="{9E606F2F-A1B7-4D8A-B71B-3BFFA0FC8998}" name="Puntos scratch" dataDxfId="741">
      <calculatedColumnFormula>IF(E51="M",IF(Tabla231116212631[[#This Row],[Tiempo]]="AB","",LOOKUP(Tabla231116212631[[#This Row],[CLAS SCRATCH]],'Datos puntos'!$A$2:$A$23,'Datos puntos'!$B$2:$B$23)),"")</calculatedColumnFormula>
    </tableColumn>
    <tableColumn id="17" xr3:uid="{FF419DFC-740C-4F9A-A9DC-5DA7CC39D421}" name="CLAS CLASE" dataDxfId="740">
      <calculatedColumnFormula>Tabla231116212631[[#This Row],[CLAS SCRATCH]]</calculatedColumnFormula>
    </tableColumn>
    <tableColumn id="18" xr3:uid="{61A209E0-BCD8-4CCC-9EA0-6C84B7E014F2}" name="Puntos clase" dataDxfId="739">
      <calculatedColumnFormula>IF(E51="M",IF(Tabla231116212631[[#This Row],[Tiempo]]="AB","",LOOKUP(Tabla231116212631[[#This Row],[CLAS CLASE]],'Datos puntos'!$A$25:$A$53,'Datos puntos'!$B$25:$B$53)),"")</calculatedColumnFormula>
    </tableColumn>
    <tableColumn id="19" xr3:uid="{54099CAE-D965-4A77-987C-935C8B11310B}" name="Suma de comprobación" dataDxfId="738">
      <calculatedColumnFormula>IF(Tabla231116212631[[#This Row],[Puntos scratch]]="","NO PUNTÚA",SUM(Tabla231116212631[[#This Row],[Puntos scratch]],Tabla231116212631[[#This Row],[Puntos clase]])*2)</calculatedColumnFormula>
    </tableColumn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5DF92BB9-0F43-4652-9F10-7F12516A7661}" name="Tabla156121722" displayName="Tabla156121722" ref="A5:U28" totalsRowShown="0" headerRowDxfId="737" dataDxfId="736">
  <autoFilter ref="A5:U28" xr:uid="{533F8B80-D347-42BD-9798-A4AF8CC6A183}"/>
  <sortState xmlns:xlrd2="http://schemas.microsoft.com/office/spreadsheetml/2017/richdata2" ref="A6:U24">
    <sortCondition ref="A5:A24"/>
  </sortState>
  <tableColumns count="21">
    <tableColumn id="1" xr3:uid="{81D78492-BEFC-4530-9132-A3A19A614811}" name="POS" dataDxfId="735"/>
    <tableColumn id="2" xr3:uid="{280D0212-BE36-4782-9FBE-D77E9541F7E5}" name="Nº" dataDxfId="734"/>
    <tableColumn id="3" xr3:uid="{25009556-40E3-44DF-8959-1A80E90A6F72}" name="Escudería" dataDxfId="733"/>
    <tableColumn id="4" xr3:uid="{5A18A7D4-9B5D-42AF-8661-5B12CFBA0AAD}" name="Piloto" dataDxfId="732"/>
    <tableColumn id="5" xr3:uid="{79EE0764-138A-4C50-A4C6-FE12F0E69B60}" name="Fed." dataDxfId="731"/>
    <tableColumn id="6" xr3:uid="{7AC2807C-EFEB-4BA2-B6A8-1790C1D90BF5}" name="Piloto2" dataDxfId="730"/>
    <tableColumn id="7" xr3:uid="{64A40A55-B064-4812-9014-9F21963E206F}" name="Fed.2" dataDxfId="729"/>
    <tableColumn id="8" xr3:uid="{F6BB8A30-9CD1-4178-B36B-ABE06C1774D9}" name="Vehículo" dataDxfId="728"/>
    <tableColumn id="9" xr3:uid="{BA94B0C8-5889-46DD-857E-85ABF5A91F94}" name="Grupo" dataDxfId="727"/>
    <tableColumn id="10" xr3:uid="{4266E2EC-D3D5-4638-87FC-109743B02ADC}" name="Clase" dataDxfId="726"/>
    <tableColumn id="11" xr3:uid="{6FB35190-D80D-4EAE-874B-2E53664E5E10}" name="Tiempo" dataDxfId="725"/>
    <tableColumn id="15" xr3:uid="{0743E371-619B-4C2D-8627-EA323CE60BAB}" name="CLAS SCRATCH" dataDxfId="724">
      <calculatedColumnFormula>IF(AND(E6="M",Tabla156121722[[#This Row],[POS]]&lt;&gt;"AB",Tabla156121722[[#This Row],[POS]]&lt;&gt;"DSQ"),COUNTIF($E$6:E6,"M"),"")</calculatedColumnFormula>
    </tableColumn>
    <tableColumn id="16" xr3:uid="{297BAEAF-FD54-4AD8-9351-8FC10C3D83C1}" name="Puntos scratch" dataDxfId="723">
      <calculatedColumnFormula>IF(E6="M",IF(Tabla156121722[[#This Row],[Tiempo]]="AB","",LOOKUP(Tabla156121722[[#This Row],[CLAS SCRATCH]],'Datos puntos'!$A$2:$A$23,'Datos puntos'!$B$2:$B$23)),"")</calculatedColumnFormula>
    </tableColumn>
    <tableColumn id="17" xr3:uid="{48E02353-5B1B-4D11-98E7-F4638F1338F9}" name="CLAS CLASE" dataDxfId="722">
      <calculatedColumnFormula>IF(AND(E6="M",Tabla156121722[[#This Row],[POS]]&lt;&gt;"AB",Tabla156121722[[#This Row],[POS]]&lt;&gt;"DSQ"),COUNTIFS($J$6:J6,Tabla156121722[[#This Row],[Clase]],$E$6:E6,"M"),"")</calculatedColumnFormula>
    </tableColumn>
    <tableColumn id="18" xr3:uid="{4B58AF00-53B2-46E2-ABDE-A33D9647C49A}" name="Puntos clase" dataDxfId="721">
      <calculatedColumnFormula>IF(E6="M",IF(Tabla156121722[[#This Row],[Tiempo]]="AB","",LOOKUP(Tabla156121722[[#This Row],[CLAS CLASE]],'Datos puntos'!$A$25:$A$53,'Datos puntos'!$B$25:$B$53)),"")</calculatedColumnFormula>
    </tableColumn>
    <tableColumn id="19" xr3:uid="{6E8EA369-CC94-4F6D-B9D1-B21236CD36A7}" name="Suma de comprobación" dataDxfId="720">
      <calculatedColumnFormula>IF(Tabla156121722[[#This Row],[Puntos scratch]]="","NO PUNTÚA",SUM(Tabla156121722[[#This Row],[Puntos scratch]],Tabla156121722[[#This Row],[Puntos clase]])*2)</calculatedColumnFormula>
    </tableColumn>
    <tableColumn id="20" xr3:uid="{1D9B60FB-369E-4EA7-9906-AFB87B2C3B6D}" name="CLAS SCRATCH2" dataDxfId="719">
      <calculatedColumnFormula>IF(AND(G6="M",Tabla156121722[[#This Row],[POS]]&lt;&gt;"AB",Tabla156121722[[#This Row],[POS]]&lt;&gt;"DSQ"),COUNTIF($G$6:G6,"M"),"")</calculatedColumnFormula>
    </tableColumn>
    <tableColumn id="21" xr3:uid="{B3E30D76-BAB6-4837-8C66-5961D44F1362}" name="Puntos scratch3" dataDxfId="718">
      <calculatedColumnFormula>IF(G6="M",IF(Tabla156121722[[#This Row],[Tiempo]]="AB","",LOOKUP(Tabla156121722[[#This Row],[CLAS SCRATCH2]],'Datos puntos'!$A$2:$A$23,'Datos puntos'!$B$2:$B$23)),"")</calculatedColumnFormula>
    </tableColumn>
    <tableColumn id="22" xr3:uid="{86D099A4-C2CB-4DE1-82B1-066C30136387}" name="CLAS CLASE2" dataDxfId="717">
      <calculatedColumnFormula>IF(AND(G6="M",Tabla156121722[[#This Row],[POS]]&lt;&gt;"AB",Tabla156121722[[#This Row],[POS]]&lt;&gt;"DSQ"),COUNTIFS($J$6:J6,Tabla156121722[[#This Row],[Clase]],$G$6:G6,"M"),"")</calculatedColumnFormula>
    </tableColumn>
    <tableColumn id="23" xr3:uid="{28FC8A7B-5FF8-4D37-944E-C395A4FDE939}" name="Puntos clase5" dataDxfId="716">
      <calculatedColumnFormula>IF(G6="M",IF(Tabla156121722[[#This Row],[Tiempo]]="AB","",LOOKUP(Tabla156121722[[#This Row],[CLAS CLASE2]],'Datos puntos'!$A$25:$A$53,'Datos puntos'!$B$25:$B$53)),"")</calculatedColumnFormula>
    </tableColumn>
    <tableColumn id="24" xr3:uid="{ADCED7E0-60B4-4128-99FE-577FC9E14375}" name="Suma de comprobación6" dataDxfId="715">
      <calculatedColumnFormula>IF(Tabla156121722[[#This Row],[Puntos scratch3]]="","NO PUNTÚA",SUM(Tabla156121722[[#This Row],[Puntos scratch3]],Tabla156121722[[#This Row],[Puntos clase5]])*2)</calculatedColumnFormula>
    </tableColumn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A3C557C4-5C73-457A-A19D-5B474FE681C1}" name="Tabla27131823" displayName="Tabla27131823" ref="A43:U47" totalsRowShown="0" headerRowDxfId="714" dataDxfId="713">
  <autoFilter ref="A43:U47" xr:uid="{89EBD1D5-DA63-45BC-9383-CB3B241F2AEE}"/>
  <sortState xmlns:xlrd2="http://schemas.microsoft.com/office/spreadsheetml/2017/richdata2" ref="A44:K45">
    <sortCondition ref="K43:K45"/>
  </sortState>
  <tableColumns count="21">
    <tableColumn id="1" xr3:uid="{F49A00EB-C0C1-4BE9-8834-C14A26736381}" name="POS" dataDxfId="712" dataCellStyle="Normal 20"/>
    <tableColumn id="2" xr3:uid="{25521E6A-7E92-4656-AB26-78C15C4DF1AA}" name="Nº" dataDxfId="711"/>
    <tableColumn id="3" xr3:uid="{80A54C10-C63A-4C36-B168-46DE945A5A44}" name="Escudería" dataDxfId="710"/>
    <tableColumn id="4" xr3:uid="{82977468-3014-4B15-824F-93AD4EDD101C}" name="Piloto" dataDxfId="709"/>
    <tableColumn id="5" xr3:uid="{5ACCDFA5-6196-45BF-A4B3-E9A70E507753}" name="Fed." dataDxfId="708"/>
    <tableColumn id="6" xr3:uid="{4D9F5F8B-03CE-44D1-9AAF-3419341C6880}" name="Copiloto" dataDxfId="707"/>
    <tableColumn id="7" xr3:uid="{07313420-3C1B-4561-AB63-1E0A55B908A3}" name="Fed.2" dataDxfId="706"/>
    <tableColumn id="8" xr3:uid="{EC49F5B3-52AE-4851-9D6D-BAF9ABAACB4C}" name="Vehículo" dataDxfId="705"/>
    <tableColumn id="9" xr3:uid="{6FD33801-D82B-4F54-9705-80F25AF60DF1}" name="Grupo" dataDxfId="704"/>
    <tableColumn id="10" xr3:uid="{DC330FCB-9DDE-4668-A9F9-77E3D75B8810}" name="Clase" dataDxfId="703"/>
    <tableColumn id="11" xr3:uid="{546AD0C1-8BFB-464F-832E-D974AF40E462}" name="Tiempo" dataDxfId="702"/>
    <tableColumn id="15" xr3:uid="{93DEA4AC-E0C4-4F74-BCA9-46F5A68C400D}" name="CLAS SCRATCH" dataDxfId="701">
      <calculatedColumnFormula>IF(AND(E44="M",Tabla27131823[[#This Row],[POS]]&lt;&gt;"AB",Tabla27131823[[#This Row],[POS]]&lt;&gt;"DSQ"),COUNTIF($E$44:E44,"M"),"")</calculatedColumnFormula>
    </tableColumn>
    <tableColumn id="16" xr3:uid="{6FE705AB-DC11-4BFC-8634-8599D0394398}" name="Puntos scratch" dataDxfId="700">
      <calculatedColumnFormula>IF(E44="M",IF(Tabla27131823[[#This Row],[Tiempo]]="AB","",LOOKUP(Tabla27131823[[#This Row],[CLAS SCRATCH]],'Datos puntos'!$A$2:$A$23,'Datos puntos'!$B$2:$B$23)),"")</calculatedColumnFormula>
    </tableColumn>
    <tableColumn id="17" xr3:uid="{C56972EF-C07B-483F-96B5-EF8A4A6290E5}" name="CLAS CLASE" dataDxfId="699">
      <calculatedColumnFormula>Tabla27131823[[#This Row],[CLAS SCRATCH]]</calculatedColumnFormula>
    </tableColumn>
    <tableColumn id="18" xr3:uid="{8B45D18F-F89B-49A7-BCD2-05E1C49E63F8}" name="Puntos clase" dataDxfId="698">
      <calculatedColumnFormula>IF(E44="M",IF(Tabla27131823[[#This Row],[Tiempo]]="AB","",LOOKUP(Tabla27131823[[#This Row],[CLAS CLASE]],'Datos puntos'!$A$25:$A$53,'Datos puntos'!$B$25:$B$53)),"")</calculatedColumnFormula>
    </tableColumn>
    <tableColumn id="19" xr3:uid="{4BABAC54-661E-49E3-957D-82F82707BA34}" name="Suma de comprobación" dataDxfId="697">
      <calculatedColumnFormula>IF(Tabla27131823[[#This Row],[Puntos scratch]]="","NO PUNTÚA",SUM(Tabla27131823[[#This Row],[Puntos scratch]],Tabla27131823[[#This Row],[Puntos clase]])*2)</calculatedColumnFormula>
    </tableColumn>
    <tableColumn id="20" xr3:uid="{874D4F92-F826-4F25-B802-FFCB28A5F911}" name="CLAS SCRATCH2" dataDxfId="696">
      <calculatedColumnFormula>IF(AND(G44="M",Tabla27131823[[#This Row],[POS]]&lt;&gt;"AB",Tabla27131823[[#This Row],[POS]]&lt;&gt;"DSQ"),COUNTIF($G$44:G44,"M"),"")</calculatedColumnFormula>
    </tableColumn>
    <tableColumn id="21" xr3:uid="{B9D36F94-033B-4C8C-8E83-D32022BA9BBC}" name="Puntos scratch3" dataDxfId="695">
      <calculatedColumnFormula>IF(G44="M",IF(Tabla27131823[[#This Row],[Tiempo]]="AB","",LOOKUP(Tabla27131823[[#This Row],[CLAS SCRATCH2]],'Datos puntos'!$A$2:$A$23,'Datos puntos'!$B$2:$B$23)),"")</calculatedColumnFormula>
    </tableColumn>
    <tableColumn id="22" xr3:uid="{3EF569F5-FE05-45EB-B715-77FF6AC930B0}" name="CLAS CLASE2" dataDxfId="694">
      <calculatedColumnFormula>Tabla27131823[[#This Row],[CLAS SCRATCH2]]</calculatedColumnFormula>
    </tableColumn>
    <tableColumn id="23" xr3:uid="{20E02728-BF33-42F2-8A85-97B058008BBE}" name="Puntos clase5" dataDxfId="693">
      <calculatedColumnFormula>IF(G44="M",IF(Tabla27131823[[#This Row],[Tiempo]]="AB","",LOOKUP(Tabla27131823[[#This Row],[CLAS CLASE2]],'Datos puntos'!$A$25:$A$53,'Datos puntos'!$B$25:$B$53)),"")</calculatedColumnFormula>
    </tableColumn>
    <tableColumn id="24" xr3:uid="{6BFFFD46-A7B6-4144-95D9-41B9C2E5F65A}" name="Suma de comprobación6" dataDxfId="692">
      <calculatedColumnFormula>IF(Tabla27131823[[#This Row],[Puntos scratch]]="","NO PUNTÚA",SUM(Tabla27131823[[#This Row],[Puntos scratch]],Tabla27131823[[#This Row],[Puntos clase]])*2)</calculatedColumnFormula>
    </tableColumn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53126B68-1260-4AF0-A61A-55607E9A88CD}" name="Tabla329141924" displayName="Tabla329141924" ref="A31:U35" totalsRowShown="0" headerRowDxfId="691" dataDxfId="690" tableBorderDxfId="689">
  <autoFilter ref="A31:U35" xr:uid="{1ED47680-F9B8-4F7B-A508-875156995796}"/>
  <sortState xmlns:xlrd2="http://schemas.microsoft.com/office/spreadsheetml/2017/richdata2" ref="A32:U34">
    <sortCondition ref="A31:A34"/>
  </sortState>
  <tableColumns count="21">
    <tableColumn id="1" xr3:uid="{F0A3C7EF-1738-46BE-8005-FCF1C7A3343A}" name="POS" dataDxfId="688"/>
    <tableColumn id="2" xr3:uid="{E464F121-AE89-4C15-9D29-81C12DAC9A06}" name="Nº" dataDxfId="687"/>
    <tableColumn id="3" xr3:uid="{1D26E929-285A-41B4-9107-70CCF54BCC8B}" name="Escudería" dataDxfId="686"/>
    <tableColumn id="4" xr3:uid="{0B2518DF-58EE-4E50-8C18-8A2023C47554}" name="Piloto" dataDxfId="685"/>
    <tableColumn id="5" xr3:uid="{BE687BDE-3F10-4C2A-8F6B-E01DAEBC91F1}" name="Fed." dataDxfId="684"/>
    <tableColumn id="6" xr3:uid="{FCE525C3-77C8-4144-ADB1-A043F88A6D38}" name="Copiloto" dataDxfId="683"/>
    <tableColumn id="7" xr3:uid="{E49D912E-E5AF-472E-8988-7AF7B955549A}" name="Fed.2" dataDxfId="682"/>
    <tableColumn id="8" xr3:uid="{E07FF5CD-B550-455C-A85F-49D32419B089}" name="Vehículo" dataDxfId="681"/>
    <tableColumn id="9" xr3:uid="{E1DA7F1E-3923-46DE-BF8A-8219B4B5AE53}" name="Grupo" dataDxfId="680"/>
    <tableColumn id="10" xr3:uid="{A53D8B5A-9FCE-443E-B4F2-4A57AD244459}" name="Clase" dataDxfId="679"/>
    <tableColumn id="11" xr3:uid="{B46BD500-FE68-4B5A-A70F-269C154D99D5}" name="Tiempo" dataDxfId="678"/>
    <tableColumn id="15" xr3:uid="{16907A58-099B-4F2E-A646-B73508141BB3}" name="CLAS SCRATCH" dataDxfId="677">
      <calculatedColumnFormula>IF(AND(E32="M",Tabla329141924[[#This Row],[POS]]&lt;&gt;"AB",Tabla329141924[[#This Row],[POS]]&lt;&gt;"DSQ"),COUNTIF($E$32:E32,"M"),"")</calculatedColumnFormula>
    </tableColumn>
    <tableColumn id="16" xr3:uid="{69A54365-EC46-4FC7-AA76-AFF490CA5F38}" name="Puntos scratch" dataDxfId="676">
      <calculatedColumnFormula>IF(E32="M",IF(Tabla329141924[[#This Row],[Tiempo]]="AB","",LOOKUP(Tabla329141924[[#This Row],[CLAS SCRATCH]],'Datos puntos'!$A$2:$A$23,'Datos puntos'!$B$2:$B$23)),"")</calculatedColumnFormula>
    </tableColumn>
    <tableColumn id="17" xr3:uid="{C1D45BF5-D038-44C2-B844-D3B3DE1DD83B}" name="CLAS CLASE" dataDxfId="675">
      <calculatedColumnFormula>Tabla329141924[[#This Row],[CLAS SCRATCH]]</calculatedColumnFormula>
    </tableColumn>
    <tableColumn id="18" xr3:uid="{CAA206C0-E103-4373-97AC-5DA5E25AAD99}" name="Puntos clase" dataDxfId="674">
      <calculatedColumnFormula>IF(E32="M",IF(Tabla329141924[[#This Row],[Tiempo]]="AB","",LOOKUP(Tabla329141924[[#This Row],[CLAS CLASE]],'Datos puntos'!$A$25:$A$53,'Datos puntos'!$B$25:$B$53)),"")</calculatedColumnFormula>
    </tableColumn>
    <tableColumn id="19" xr3:uid="{42EE74B6-8194-40F1-8E54-34CEBEAA5B83}" name="Suma de comprobación" dataDxfId="673">
      <calculatedColumnFormula>IF(Tabla329141924[[#This Row],[Puntos scratch]]="","NO PUNTÚA",SUM(Tabla329141924[[#This Row],[Puntos scratch]],Tabla329141924[[#This Row],[Puntos clase]])*2)</calculatedColumnFormula>
    </tableColumn>
    <tableColumn id="20" xr3:uid="{958F3EB7-27DE-4FC8-9526-EB049AED3761}" name="CLAS SCRATCH2" dataDxfId="672">
      <calculatedColumnFormula>IF(AND(G32="M",Tabla329141924[[#This Row],[POS]]&lt;&gt;"AB",Tabla329141924[[#This Row],[POS]]&lt;&gt;"DSQ"),COUNTIF($G$32:G32,"M"),"")</calculatedColumnFormula>
    </tableColumn>
    <tableColumn id="21" xr3:uid="{4B4AD512-E707-4C8C-9FD3-5E3E839D4F48}" name="Puntos scratch3" dataDxfId="671">
      <calculatedColumnFormula>IF(G32="M",IF(Tabla329141924[[#This Row],[Tiempo]]="AB","",LOOKUP(Tabla329141924[[#This Row],[CLAS SCRATCH2]],'Datos puntos'!$A$2:$A$23,'Datos puntos'!$B$2:$B$23)),"")</calculatedColumnFormula>
    </tableColumn>
    <tableColumn id="22" xr3:uid="{D94796F5-D050-437B-8860-8207476B4387}" name="CLAS CLASE2" dataDxfId="670">
      <calculatedColumnFormula>Tabla329141924[[#This Row],[CLAS SCRATCH2]]</calculatedColumnFormula>
    </tableColumn>
    <tableColumn id="23" xr3:uid="{6D2CB947-1795-4FFC-89F7-E5889900F10C}" name="Puntos clase5" dataDxfId="669">
      <calculatedColumnFormula>IF(G32="M",IF(Tabla329141924[[#This Row],[Tiempo]]="AB","",LOOKUP(Tabla329141924[[#This Row],[CLAS CLASE2]],'Datos puntos'!$A$25:$A$53,'Datos puntos'!$B$25:$B$53)),"")</calculatedColumnFormula>
    </tableColumn>
    <tableColumn id="24" xr3:uid="{9829EAC3-6FEE-46B1-B7D6-395354951F9A}" name="Suma de comprobación6" dataDxfId="668">
      <calculatedColumnFormula>IF(Tabla329141924[[#This Row],[Puntos scratch3]]="","NO PUNTÚA",SUM(Tabla329141924[[#This Row],[Puntos scratch3]],Tabla329141924[[#This Row],[Puntos clase5]])*2)</calculatedColumnFormula>
    </tableColumn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FB0C540B-5382-4989-ACFC-D4A18130A67A}" name="Tabla710152025" displayName="Tabla710152025" ref="A37:U40" totalsRowShown="0">
  <autoFilter ref="A37:U40" xr:uid="{FED10FF5-A9BB-4B41-A0B8-2F909777C2DC}"/>
  <tableColumns count="21">
    <tableColumn id="1" xr3:uid="{EF9D776A-820D-4217-923B-45D156E937BB}" name="POS" dataDxfId="667" dataCellStyle="Normal 19"/>
    <tableColumn id="2" xr3:uid="{75E51C59-F7D7-4234-A830-30818CDA385F}" name="Nº" dataDxfId="666" dataCellStyle="Normal 19"/>
    <tableColumn id="3" xr3:uid="{1DA8C738-B254-40A3-92B9-9ED411E4EE1B}" name="Escudería" dataDxfId="665" dataCellStyle="Normal 19"/>
    <tableColumn id="4" xr3:uid="{8D9BE9F5-C512-4D06-9649-3AAF964D24A8}" name="Piloto" dataDxfId="664" dataCellStyle="Normal 19"/>
    <tableColumn id="5" xr3:uid="{63F66F5F-82D8-44DA-8440-1F2C4481C639}" name="Fed" dataDxfId="663" dataCellStyle="Normal 19"/>
    <tableColumn id="6" xr3:uid="{C320F657-7C41-489C-A109-5F09150084B8}" name="Copiloto" dataDxfId="662" dataCellStyle="Normal 19"/>
    <tableColumn id="7" xr3:uid="{E01E53DA-FBA6-49FC-991A-D7B4789D9EB5}" name="Fed2" dataDxfId="661" dataCellStyle="Normal 19"/>
    <tableColumn id="8" xr3:uid="{AA6C972E-12C9-411A-B1A3-6BB9EFB6E1B6}" name="Vehículo" dataDxfId="660" dataCellStyle="Normal 19"/>
    <tableColumn id="9" xr3:uid="{A28FA901-435E-4ADA-8CF7-903ABE9C9845}" name="Grupo" dataDxfId="659" dataCellStyle="Normal 19"/>
    <tableColumn id="10" xr3:uid="{AD56CE53-9732-452B-BAEF-AAC1C42CF3AF}" name="Clase" dataDxfId="658" dataCellStyle="Normal 19"/>
    <tableColumn id="11" xr3:uid="{65F016BF-356A-4B6C-9BF4-943C9A21F5CD}" name="Tiempo" dataDxfId="657" dataCellStyle="Normal 19"/>
    <tableColumn id="15" xr3:uid="{28723105-44A6-40D4-90F7-27053A46202A}" name="CLAS SCRATCH" dataDxfId="656" dataCellStyle="Normal 19">
      <calculatedColumnFormula>IF(AND(E38="M",Tabla710152025[[#This Row],[POS]]&lt;&gt;"AB",Tabla710152025[[#This Row],[POS]]&lt;&gt;"DSQ"),COUNTIF($E$38:E38,"M"),"")</calculatedColumnFormula>
    </tableColumn>
    <tableColumn id="16" xr3:uid="{E878B673-9083-481C-BB5F-FAB91AA96C0F}" name="Puntos scratch" dataDxfId="655" dataCellStyle="Normal 19">
      <calculatedColumnFormula>IF(E38="M",IF(Tabla710152025[[#This Row],[Tiempo]]="AB","",LOOKUP(Tabla710152025[[#This Row],[CLAS SCRATCH]],'Datos puntos'!$A$2:$A$23,'Datos puntos'!$B$2:$B$23)),"")</calculatedColumnFormula>
    </tableColumn>
    <tableColumn id="17" xr3:uid="{8AF02028-9E63-46E6-9929-EA7723AA3D28}" name="CLAS CLASE" dataDxfId="654" dataCellStyle="Normal 19">
      <calculatedColumnFormula>Tabla710152025[[#This Row],[CLAS SCRATCH]]</calculatedColumnFormula>
    </tableColumn>
    <tableColumn id="18" xr3:uid="{45669518-1FC7-41B1-BFEA-8B9FBEADF049}" name="Puntos clase" dataDxfId="653" dataCellStyle="Normal 19">
      <calculatedColumnFormula>IF(E38="M",IF(Tabla710152025[[#This Row],[Tiempo]]="AB","",LOOKUP(Tabla710152025[[#This Row],[CLAS CLASE]],'Datos puntos'!$A$25:$A$53,'Datos puntos'!$B$25:$B$53)),"")</calculatedColumnFormula>
    </tableColumn>
    <tableColumn id="19" xr3:uid="{550E53D9-707C-4787-9416-66252BBAD657}" name="Suma de comprobación" dataDxfId="652" dataCellStyle="Normal 19">
      <calculatedColumnFormula>IF(Tabla710152025[[#This Row],[Puntos scratch]]="","NO PUNTÚA",SUM(Tabla710152025[[#This Row],[Puntos scratch]],Tabla710152025[[#This Row],[Puntos clase]])*2)</calculatedColumnFormula>
    </tableColumn>
    <tableColumn id="20" xr3:uid="{1D659DEF-1477-472D-A66D-04C734BFBD46}" name="CLAS SCRATCH2" dataDxfId="651" dataCellStyle="Normal 19">
      <calculatedColumnFormula>IF(AND(G38="M",Tabla710152025[[#This Row],[POS]]&lt;&gt;"AB",Tabla710152025[[#This Row],[POS]]&lt;&gt;"DSQ"),COUNTIF($G$38:G38,"M"),"")</calculatedColumnFormula>
    </tableColumn>
    <tableColumn id="21" xr3:uid="{338EACFD-5212-4B1B-AA5A-E19AAB32765F}" name="Puntos scratch3" dataDxfId="650" dataCellStyle="Normal 19">
      <calculatedColumnFormula>IF(G38="M",IF(Tabla710152025[[#This Row],[Tiempo]]="AB","",LOOKUP(Tabla710152025[[#This Row],[CLAS SCRATCH2]],'Datos puntos'!$A$2:$A$23,'Datos puntos'!$B$2:$B$23)),"")</calculatedColumnFormula>
    </tableColumn>
    <tableColumn id="22" xr3:uid="{E69F1E30-AE9F-4670-A38A-216110350587}" name="CLAS CLASE2" dataDxfId="649" dataCellStyle="Normal 19">
      <calculatedColumnFormula>Tabla710152025[[#This Row],[CLAS SCRATCH2]]</calculatedColumnFormula>
    </tableColumn>
    <tableColumn id="23" xr3:uid="{D13E4C85-3D52-4A30-AE23-57348869282D}" name="Puntos clase5" dataDxfId="648" dataCellStyle="Normal 19">
      <calculatedColumnFormula>IF(G38="M",IF(Tabla710152025[[#This Row],[Tiempo]]="AB","",LOOKUP(Tabla710152025[[#This Row],[CLAS CLASE2]],'Datos puntos'!$A$25:$A$53,'Datos puntos'!$B$25:$B$53)),"")</calculatedColumnFormula>
    </tableColumn>
    <tableColumn id="24" xr3:uid="{8455D282-4A33-4439-919E-379E2EB62CE2}" name="Suma de comprobación6" dataDxfId="647" dataCellStyle="Normal 19">
      <calculatedColumnFormula>IF(Tabla710152025[[#This Row],[Puntos scratch3]]="","NO PUNTÚA",SUM(Tabla710152025[[#This Row],[Puntos scratch3]],Tabla710152025[[#This Row],[Puntos clase5]])*2)</calculatedColumnFormula>
    </tableColumn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1F2AD5F6-B5AA-4D32-AAFC-C1CACD6B25A3}" name="Tabla2311162126" displayName="Tabla2311162126" ref="A50:N52" totalsRowShown="0" headerRowDxfId="646" dataDxfId="645">
  <autoFilter ref="A50:N52" xr:uid="{0CBC37F1-62DF-484C-B192-DC95846F7E8D}"/>
  <sortState xmlns:xlrd2="http://schemas.microsoft.com/office/spreadsheetml/2017/richdata2" ref="A51:I51">
    <sortCondition ref="I43:I45"/>
  </sortState>
  <tableColumns count="14">
    <tableColumn id="1" xr3:uid="{6DAE9291-CBAB-4456-9683-B235FD4D3310}" name="POS" dataDxfId="644" dataCellStyle="Normal 20"/>
    <tableColumn id="2" xr3:uid="{9C3DD9DC-3480-49A2-9A11-CB3583E4CC1B}" name="Nº" dataDxfId="643"/>
    <tableColumn id="3" xr3:uid="{E67C0BF6-6E0F-4EB6-A383-B158A8D8BC49}" name="Escudería" dataDxfId="642" dataCellStyle="Normal 20"/>
    <tableColumn id="4" xr3:uid="{908EF06D-98A6-4ED2-AC60-7346CE8FA355}" name="Tripulante" dataDxfId="641"/>
    <tableColumn id="5" xr3:uid="{49B53AB6-F964-4F6E-9686-3102045AAD3A}" name="Fed." dataDxfId="640"/>
    <tableColumn id="8" xr3:uid="{93F52BCF-FB39-4D3B-B897-5755CA62577E}" name="Vehículo" dataDxfId="639" dataCellStyle="Normal 20"/>
    <tableColumn id="9" xr3:uid="{05FFF0D3-93E3-43DC-9E9A-9330D242477A}" name="Grupo" dataDxfId="638" dataCellStyle="Normal 20"/>
    <tableColumn id="10" xr3:uid="{BC95031F-1956-469E-BC25-4CE3A42EB31D}" name="Clase" dataDxfId="637"/>
    <tableColumn id="11" xr3:uid="{54C734F0-27FB-48B8-BDD8-765C0EA01F02}" name="Tiempo" dataDxfId="636"/>
    <tableColumn id="15" xr3:uid="{5D1F542D-313A-49CE-89F9-BE122FE13F87}" name="CLAS SCRATCH" dataDxfId="635">
      <calculatedColumnFormula>IF(AND(E51="M",Tabla2311162126[[#This Row],[POS]]&lt;&gt;"AB",Tabla2311162126[[#This Row],[POS]]&lt;&gt;"DSQ"),COUNTIF($E$51:E51,"M"),"")</calculatedColumnFormula>
    </tableColumn>
    <tableColumn id="16" xr3:uid="{62D6F00B-FC06-4C9C-9377-CBEFB2723214}" name="Puntos scratch" dataDxfId="634">
      <calculatedColumnFormula>IF(E51="M",IF(Tabla2311162126[[#This Row],[Tiempo]]="AB","",LOOKUP(Tabla2311162126[[#This Row],[CLAS SCRATCH]],'Datos puntos'!$A$2:$A$23,'Datos puntos'!$B$2:$B$23)),"")</calculatedColumnFormula>
    </tableColumn>
    <tableColumn id="17" xr3:uid="{A52C6F39-D0AF-4247-BA8F-5FF90768B91B}" name="CLAS CLASE" dataDxfId="633">
      <calculatedColumnFormula>Tabla2311162126[[#This Row],[CLAS SCRATCH]]</calculatedColumnFormula>
    </tableColumn>
    <tableColumn id="18" xr3:uid="{8DD32D56-ADF9-4C07-B966-BF0D0A5F8182}" name="Puntos clase" dataDxfId="632">
      <calculatedColumnFormula>IF(E51="M",IF(Tabla2311162126[[#This Row],[Tiempo]]="AB","",LOOKUP(Tabla2311162126[[#This Row],[CLAS CLASE]],'Datos puntos'!$A$25:$A$53,'Datos puntos'!$B$25:$B$53)),"")</calculatedColumnFormula>
    </tableColumn>
    <tableColumn id="19" xr3:uid="{E4384AB5-05E0-4B15-9F72-558356F434D6}" name="Suma de comprobación" dataDxfId="631">
      <calculatedColumnFormula>IF(Tabla2311162126[[#This Row],[Puntos scratch]]="","NO PUNTÚA",SUM(Tabla2311162126[[#This Row],[Puntos scratch]],Tabla2311162126[[#This Row],[Puntos clase]])*2)</calculatedColumnFormula>
    </tableColumn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16A89C55-8652-4EFE-8656-99D5CB6B63CE}" name="Tabla1561217" displayName="Tabla1561217" ref="A5:U36" totalsRowShown="0" headerRowDxfId="630" dataDxfId="629">
  <autoFilter ref="A5:U36" xr:uid="{533F8B80-D347-42BD-9798-A4AF8CC6A183}"/>
  <sortState xmlns:xlrd2="http://schemas.microsoft.com/office/spreadsheetml/2017/richdata2" ref="A6:U24">
    <sortCondition ref="A5:A24"/>
  </sortState>
  <tableColumns count="21">
    <tableColumn id="1" xr3:uid="{32C4A484-4530-4C37-BC04-E0806A12CC96}" name="POS" dataDxfId="628"/>
    <tableColumn id="2" xr3:uid="{9B64163E-64BC-47F1-AE3C-E6950297894F}" name="Nº" dataDxfId="627"/>
    <tableColumn id="3" xr3:uid="{8027CAF2-9566-4352-9528-A27826ECFD41}" name="Escudería" dataDxfId="626"/>
    <tableColumn id="4" xr3:uid="{58B48BFC-2DDE-4570-BD8A-270BEEC7ECF1}" name="Piloto" dataDxfId="625"/>
    <tableColumn id="5" xr3:uid="{19C42F2C-C3E4-41B9-8F36-005BA2378239}" name="Fed." dataDxfId="624"/>
    <tableColumn id="6" xr3:uid="{96BAB435-D617-420B-96F7-1C803EEF8C18}" name="Piloto2" dataDxfId="623"/>
    <tableColumn id="7" xr3:uid="{000CF8E6-7D90-413A-9ECA-648550A46D70}" name="Fed.2" dataDxfId="622"/>
    <tableColumn id="8" xr3:uid="{B406EB90-1AD8-41B6-9F9B-42B2CCB2D5F2}" name="Vehículo" dataDxfId="621"/>
    <tableColumn id="9" xr3:uid="{53E9A9EF-8ED6-4666-A888-5D0DBBCBBCB9}" name="Grupo" dataDxfId="620"/>
    <tableColumn id="10" xr3:uid="{78713716-4CBA-4FAF-88A7-BF8C9498B4EF}" name="Clase" dataDxfId="619"/>
    <tableColumn id="11" xr3:uid="{0EBE6979-0C6F-4538-A774-ADE74545C38E}" name="Tiempo" dataDxfId="618"/>
    <tableColumn id="15" xr3:uid="{3F7A94C8-CB9A-4664-80E7-3B0F3949E216}" name="CLAS SCRATCH" dataDxfId="617">
      <calculatedColumnFormula>IF(AND(E6="M",Tabla1561217[[#This Row],[POS]]&lt;&gt;"AB",Tabla1561217[[#This Row],[POS]]&lt;&gt;"DSQ"),COUNTIF($E$6:E6,"M"),"")</calculatedColumnFormula>
    </tableColumn>
    <tableColumn id="16" xr3:uid="{A930F34C-1B1A-4697-988E-FE81678D1013}" name="Puntos scratch" dataDxfId="616">
      <calculatedColumnFormula>IF(E6="M",IF(Tabla1561217[[#This Row],[Tiempo]]="AB","",LOOKUP(Tabla1561217[[#This Row],[CLAS SCRATCH]],'Datos puntos'!$A$2:$A$23,'Datos puntos'!$B$2:$B$23)),"")</calculatedColumnFormula>
    </tableColumn>
    <tableColumn id="17" xr3:uid="{3930FD7E-56CA-47B7-B607-1D37F51BCA70}" name="CLAS CLASE" dataDxfId="615">
      <calculatedColumnFormula>IF(AND(E6="M",Tabla1561217[[#This Row],[POS]]&lt;&gt;"AB",Tabla1561217[[#This Row],[POS]]&lt;&gt;"DSQ"),COUNTIFS($J$6:J6,Tabla1561217[[#This Row],[Clase]],$E$6:E6,"M"),"")</calculatedColumnFormula>
    </tableColumn>
    <tableColumn id="18" xr3:uid="{37C580DD-4A2D-4CB5-B926-E4008458B43D}" name="Puntos clase" dataDxfId="614">
      <calculatedColumnFormula>IF(E6="M",IF(Tabla1561217[[#This Row],[Tiempo]]="AB","",LOOKUP(Tabla1561217[[#This Row],[CLAS CLASE]],'Datos puntos'!$A$25:$A$53,'Datos puntos'!$B$25:$B$53)),"")</calculatedColumnFormula>
    </tableColumn>
    <tableColumn id="19" xr3:uid="{2AF013E3-AABE-491A-B513-E79D64F41F3E}" name="Suma de comprobación" dataDxfId="613">
      <calculatedColumnFormula>IF(Tabla1561217[[#This Row],[Puntos scratch]]="","NO PUNTÚA",SUM(Tabla1561217[[#This Row],[Puntos scratch]],Tabla1561217[[#This Row],[Puntos clase]])*2)</calculatedColumnFormula>
    </tableColumn>
    <tableColumn id="20" xr3:uid="{90B8781C-24BE-4684-AF85-26603DFB9562}" name="CLAS SCRATCH2" dataDxfId="612">
      <calculatedColumnFormula>IF(AND(G6="M",Tabla1561217[[#This Row],[POS]]&lt;&gt;"AB",Tabla1561217[[#This Row],[POS]]&lt;&gt;"DSQ"),COUNTIF($G$6:G6,"M"),"")</calculatedColumnFormula>
    </tableColumn>
    <tableColumn id="21" xr3:uid="{369332E9-72B8-498B-A4DF-6062B63AB7B2}" name="Puntos scratch3" dataDxfId="611">
      <calculatedColumnFormula>IF(G6="M",IF(Tabla1561217[[#This Row],[Tiempo]]="AB","",LOOKUP(Tabla1561217[[#This Row],[CLAS SCRATCH2]],'Datos puntos'!$A$2:$A$23,'Datos puntos'!$B$2:$B$23)),"")</calculatedColumnFormula>
    </tableColumn>
    <tableColumn id="22" xr3:uid="{337E8AB1-5D56-484B-82DD-0BDAD285B5B3}" name="CLAS CLASE2" dataDxfId="610">
      <calculatedColumnFormula>IF(AND(G6="M",Tabla1561217[[#This Row],[POS]]&lt;&gt;"AB",Tabla1561217[[#This Row],[POS]]&lt;&gt;"DSQ"),COUNTIFS($J$6:J6,Tabla1561217[[#This Row],[Clase]],$G$6:G6,"M"),"")</calculatedColumnFormula>
    </tableColumn>
    <tableColumn id="23" xr3:uid="{FFF797FD-AFF7-408C-9113-80DA43240097}" name="Puntos clase5" dataDxfId="609">
      <calculatedColumnFormula>IF(G6="M",IF(Tabla1561217[[#This Row],[Tiempo]]="AB","",LOOKUP(Tabla1561217[[#This Row],[CLAS CLASE2]],'Datos puntos'!$A$25:$A$53,'Datos puntos'!$B$25:$B$53)),"")</calculatedColumnFormula>
    </tableColumn>
    <tableColumn id="24" xr3:uid="{A897D964-C30C-480E-9EB1-55EF5F282E02}" name="Suma de comprobación6" dataDxfId="608">
      <calculatedColumnFormula>IF(Tabla1561217[[#This Row],[Puntos scratch3]]="","NO PUNTÚA",SUM(Tabla1561217[[#This Row],[Puntos scratch3]],Tabla1561217[[#This Row],[Puntos clase5]])*2)</calculatedColumnFormula>
    </tableColumn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9CCCD5C-0EE7-4493-BCE4-E49E98A1DAC4}" name="Tabla271318" displayName="Tabla271318" ref="A58:U62" totalsRowShown="0" headerRowDxfId="607" dataDxfId="606">
  <autoFilter ref="A58:U62" xr:uid="{89EBD1D5-DA63-45BC-9383-CB3B241F2AEE}"/>
  <sortState xmlns:xlrd2="http://schemas.microsoft.com/office/spreadsheetml/2017/richdata2" ref="A59:K60">
    <sortCondition ref="K58:K60"/>
  </sortState>
  <tableColumns count="21">
    <tableColumn id="1" xr3:uid="{E52B4274-D789-4CEC-B4CC-047A5638D389}" name="POS" dataDxfId="605" dataCellStyle="Normal 20"/>
    <tableColumn id="2" xr3:uid="{2619342F-BF55-4119-BBA7-D4654AB55CE8}" name="Nº" dataDxfId="604"/>
    <tableColumn id="3" xr3:uid="{4435C99E-6E75-4CE3-BFC4-D055E5A0ED5F}" name="Escudería" dataDxfId="603"/>
    <tableColumn id="4" xr3:uid="{0276460E-6B68-4047-969A-9B7EF97597C8}" name="Piloto" dataDxfId="602"/>
    <tableColumn id="5" xr3:uid="{03A74EC8-A384-4E69-B989-2495BD7F452C}" name="Fed." dataDxfId="601"/>
    <tableColumn id="6" xr3:uid="{258CF11A-69CE-44B9-BF57-36F89FA3974C}" name="Copiloto" dataDxfId="600"/>
    <tableColumn id="7" xr3:uid="{50035047-1F26-4458-8B00-AC7C6D026450}" name="Fed.2" dataDxfId="599"/>
    <tableColumn id="8" xr3:uid="{468E2CBA-2BE9-45F9-8F38-967F8F57043B}" name="Vehículo" dataDxfId="598"/>
    <tableColumn id="9" xr3:uid="{17115B71-4D23-4505-824B-8C50AD403C5B}" name="Grupo" dataDxfId="597"/>
    <tableColumn id="10" xr3:uid="{E9B3AAE9-9119-450C-A56B-B80BBCA6891F}" name="Clase" dataDxfId="596"/>
    <tableColumn id="11" xr3:uid="{49F92FEC-9185-4FD8-B990-E374D260182B}" name="Tiempo" dataDxfId="595"/>
    <tableColumn id="15" xr3:uid="{9259DE1A-3B0B-4032-A3F4-C0D3FB892DA6}" name="CLAS SCRATCH" dataDxfId="594">
      <calculatedColumnFormula>IF(AND(E59="M",Tabla271318[[#This Row],[POS]]&lt;&gt;"AB",Tabla271318[[#This Row],[POS]]&lt;&gt;"DSQ"),COUNTIF($E$59:E59,"M"),"")</calculatedColumnFormula>
    </tableColumn>
    <tableColumn id="16" xr3:uid="{9AF9F4C5-9B8A-48A5-8B75-23A743C7AD99}" name="Puntos scratch" dataDxfId="593">
      <calculatedColumnFormula>IF(E59="M",IF(Tabla271318[[#This Row],[Tiempo]]="AB","",LOOKUP(Tabla271318[[#This Row],[CLAS SCRATCH]],'Datos puntos'!$A$2:$A$23,'Datos puntos'!$B$2:$B$23)),"")</calculatedColumnFormula>
    </tableColumn>
    <tableColumn id="17" xr3:uid="{80BCAA58-B5B8-4F72-8B4B-88A4EB185BE2}" name="CLAS CLASE" dataDxfId="592">
      <calculatedColumnFormula>Tabla271318[[#This Row],[CLAS SCRATCH]]</calculatedColumnFormula>
    </tableColumn>
    <tableColumn id="18" xr3:uid="{CD1343C5-9838-4CB9-8BC6-B5F5E13E670D}" name="Puntos clase" dataDxfId="591">
      <calculatedColumnFormula>IF(E59="M",IF(Tabla271318[[#This Row],[Tiempo]]="AB","",LOOKUP(Tabla271318[[#This Row],[CLAS CLASE]],'Datos puntos'!$A$25:$A$53,'Datos puntos'!$B$25:$B$53)),"")</calculatedColumnFormula>
    </tableColumn>
    <tableColumn id="19" xr3:uid="{C0539722-2B6F-489E-8A5E-BEB7A01F4617}" name="Suma de comprobación" dataDxfId="590">
      <calculatedColumnFormula>IF(Tabla271318[[#This Row],[Puntos scratch]]="","NO PUNTÚA",SUM(Tabla271318[[#This Row],[Puntos scratch]],Tabla271318[[#This Row],[Puntos clase]])*2)</calculatedColumnFormula>
    </tableColumn>
    <tableColumn id="20" xr3:uid="{277C1399-4BF3-4701-80D9-658CF8597520}" name="CLAS SCRATCH2" dataDxfId="589">
      <calculatedColumnFormula>IF(AND(G59="M",Tabla271318[[#This Row],[POS]]&lt;&gt;"AB",Tabla271318[[#This Row],[POS]]&lt;&gt;"DSQ"),COUNTIF($G$59:G59,"M"),"")</calculatedColumnFormula>
    </tableColumn>
    <tableColumn id="21" xr3:uid="{EEDE6E17-CE11-4AE4-B21A-9E98AB01780F}" name="Puntos scratch3" dataDxfId="588">
      <calculatedColumnFormula>IF(G59="M",IF(Tabla271318[[#This Row],[Tiempo]]="AB","",LOOKUP(Tabla271318[[#This Row],[CLAS SCRATCH2]],'Datos puntos'!$A$2:$A$23,'Datos puntos'!$B$2:$B$23)),"")</calculatedColumnFormula>
    </tableColumn>
    <tableColumn id="22" xr3:uid="{4F7A0645-84EB-4050-92F3-E0A3CEEBEFA2}" name="CLAS CLASE2" dataDxfId="587">
      <calculatedColumnFormula>Tabla271318[[#This Row],[CLAS SCRATCH2]]</calculatedColumnFormula>
    </tableColumn>
    <tableColumn id="23" xr3:uid="{96DD821F-4A44-4C87-A4C4-DADC274FB67A}" name="Puntos clase5" dataDxfId="586">
      <calculatedColumnFormula>IF(G59="M",IF(Tabla271318[[#This Row],[Tiempo]]="AB","",LOOKUP(Tabla271318[[#This Row],[CLAS CLASE2]],'Datos puntos'!$A$25:$A$53,'Datos puntos'!$B$25:$B$53)),"")</calculatedColumnFormula>
    </tableColumn>
    <tableColumn id="24" xr3:uid="{C07014DD-97F1-4672-AAD5-B0DF99E0A785}" name="Suma de comprobación6" dataDxfId="585">
      <calculatedColumnFormula>IF(Tabla271318[[#This Row],[Puntos scratch]]="","NO PUNTÚA",SUM(Tabla271318[[#This Row],[Puntos scratch]],Tabla271318[[#This Row],[Puntos clase]])*2)</calculatedColumnFormula>
    </tableColumn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E76276AA-5447-4D96-B8AC-B2E0102358AA}" name="Tabla3291419" displayName="Tabla3291419" ref="A40:U45" totalsRowShown="0" headerRowDxfId="584" dataDxfId="583" tableBorderDxfId="582">
  <autoFilter ref="A40:U45" xr:uid="{1ED47680-F9B8-4F7B-A508-875156995796}"/>
  <sortState xmlns:xlrd2="http://schemas.microsoft.com/office/spreadsheetml/2017/richdata2" ref="A41:U43">
    <sortCondition ref="A40:A43"/>
  </sortState>
  <tableColumns count="21">
    <tableColumn id="1" xr3:uid="{FDFC766F-4A88-4E1A-AB3C-E2C67F47BBA4}" name="POS" dataDxfId="581"/>
    <tableColumn id="2" xr3:uid="{54C8C6EA-E353-40A2-8886-92432F1BA641}" name="Nº" dataDxfId="580"/>
    <tableColumn id="3" xr3:uid="{90BAF776-F340-4821-AC48-D5A87CCAB2B5}" name="Escudería" dataDxfId="579"/>
    <tableColumn id="4" xr3:uid="{FC548B9C-3C5F-4B0B-B9B1-6733F65BC2C6}" name="Piloto" dataDxfId="578"/>
    <tableColumn id="5" xr3:uid="{7257E6CD-BE14-436C-A9B6-088740FE6D22}" name="Fed." dataDxfId="577"/>
    <tableColumn id="6" xr3:uid="{AF1A41B2-DF89-4296-8799-CD7FDA6658C4}" name="Copiloto" dataDxfId="576"/>
    <tableColumn id="7" xr3:uid="{2D1ECF57-74A0-4053-B6B8-D30CA246128D}" name="Fed.2" dataDxfId="575"/>
    <tableColumn id="8" xr3:uid="{773658CC-708E-4AF7-843A-DA80E1B5A163}" name="Vehículo" dataDxfId="574"/>
    <tableColumn id="9" xr3:uid="{B6BE0CCE-82FD-47B6-8C23-EA92175A4CCE}" name="Grupo" dataDxfId="573"/>
    <tableColumn id="10" xr3:uid="{C7B20844-4E12-4C9D-8CA9-12FF9AF031BC}" name="Clase" dataDxfId="572"/>
    <tableColumn id="11" xr3:uid="{69F452C4-C6F6-4F1D-A744-9621DC7E7C30}" name="Tiempo" dataDxfId="571"/>
    <tableColumn id="15" xr3:uid="{6589B507-8722-464B-9943-10A2F13BF6B5}" name="CLAS SCRATCH" dataDxfId="570">
      <calculatedColumnFormula>IF(AND(E41="M",Tabla3291419[[#This Row],[POS]]&lt;&gt;"AB",Tabla3291419[[#This Row],[POS]]&lt;&gt;"DSQ"),COUNTIF($E$41:E41,"M"),"")</calculatedColumnFormula>
    </tableColumn>
    <tableColumn id="16" xr3:uid="{C3DE36A8-2DD6-42DE-8D01-51E2D81AED93}" name="Puntos scratch" dataDxfId="569">
      <calculatedColumnFormula>IF(E41="M",IF(Tabla3291419[[#This Row],[Tiempo]]="AB","",LOOKUP(Tabla3291419[[#This Row],[CLAS SCRATCH]],'Datos puntos'!$A$2:$A$23,'Datos puntos'!$B$2:$B$23)),"")</calculatedColumnFormula>
    </tableColumn>
    <tableColumn id="17" xr3:uid="{741D448E-9C28-4E8E-98A2-36EAECBBB038}" name="CLAS CLASE" dataDxfId="568">
      <calculatedColumnFormula>Tabla3291419[[#This Row],[CLAS SCRATCH]]</calculatedColumnFormula>
    </tableColumn>
    <tableColumn id="18" xr3:uid="{E9439E93-5E30-48DB-8402-A21D46458198}" name="Puntos clase" dataDxfId="567">
      <calculatedColumnFormula>IF(E41="M",IF(Tabla3291419[[#This Row],[Tiempo]]="AB","",LOOKUP(Tabla3291419[[#This Row],[CLAS CLASE]],'Datos puntos'!$A$25:$A$53,'Datos puntos'!$B$25:$B$53)),"")</calculatedColumnFormula>
    </tableColumn>
    <tableColumn id="19" xr3:uid="{BD1E6CFF-5451-4896-8C96-8790F53C3529}" name="Suma de comprobación" dataDxfId="566">
      <calculatedColumnFormula>IF(Tabla3291419[[#This Row],[Puntos scratch]]="","NO PUNTÚA",SUM(Tabla3291419[[#This Row],[Puntos scratch]],Tabla3291419[[#This Row],[Puntos clase]])*2)</calculatedColumnFormula>
    </tableColumn>
    <tableColumn id="20" xr3:uid="{541C790B-2066-4AAA-BFC6-79725E6E5545}" name="CLAS SCRATCH2" dataDxfId="565">
      <calculatedColumnFormula>IF(AND(G41="M",Tabla3291419[[#This Row],[POS]]&lt;&gt;"AB",Tabla3291419[[#This Row],[POS]]&lt;&gt;"DSQ"),COUNTIF($G$41:G41,"M"),"")</calculatedColumnFormula>
    </tableColumn>
    <tableColumn id="21" xr3:uid="{8EB399E2-874E-45BF-A842-CA6E4B72BD56}" name="Puntos scratch3" dataDxfId="564">
      <calculatedColumnFormula>IF(G41="M",IF(Tabla3291419[[#This Row],[Tiempo]]="AB","",LOOKUP(Tabla3291419[[#This Row],[CLAS SCRATCH2]],'Datos puntos'!$A$2:$A$23,'Datos puntos'!$B$2:$B$23)),"")</calculatedColumnFormula>
    </tableColumn>
    <tableColumn id="22" xr3:uid="{D3C0A7FC-4F8F-4C68-914A-46A5F58D4DBC}" name="CLAS CLASE2" dataDxfId="563">
      <calculatedColumnFormula>Tabla3291419[[#This Row],[CLAS SCRATCH2]]</calculatedColumnFormula>
    </tableColumn>
    <tableColumn id="23" xr3:uid="{77200875-EB4A-4670-B6BD-BE84B2C73E59}" name="Puntos clase5" dataDxfId="562">
      <calculatedColumnFormula>IF(G41="M",IF(Tabla3291419[[#This Row],[Tiempo]]="AB","",LOOKUP(Tabla3291419[[#This Row],[CLAS CLASE2]],'Datos puntos'!$A$25:$A$53,'Datos puntos'!$B$25:$B$53)),"")</calculatedColumnFormula>
    </tableColumn>
    <tableColumn id="24" xr3:uid="{FD896F66-2C01-4B96-9007-76BA751AFE70}" name="Suma de comprobación6" dataDxfId="561">
      <calculatedColumnFormula>IF(Tabla3291419[[#This Row],[Puntos scratch3]]="","NO PUNTÚA",SUM(Tabla3291419[[#This Row],[Puntos scratch3]],Tabla3291419[[#This Row],[Puntos clase5]])*2)</calculatedColumnFormula>
    </tableColumn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B1D8FE3D-5838-4724-BAD8-86A7DDE1CBD0}" name="Tabla7101520" displayName="Tabla7101520" ref="A49:U54" totalsRowShown="0">
  <autoFilter ref="A49:U54" xr:uid="{FED10FF5-A9BB-4B41-A0B8-2F909777C2DC}"/>
  <tableColumns count="21">
    <tableColumn id="1" xr3:uid="{73619B43-15C2-4DE8-8712-0C81A0D8E766}" name="POS" dataDxfId="560" dataCellStyle="Normal 19"/>
    <tableColumn id="2" xr3:uid="{9490813A-A78A-452D-89AB-B8FECC6FF546}" name="Nº" dataDxfId="559" dataCellStyle="Normal 19"/>
    <tableColumn id="3" xr3:uid="{840F0ABC-6853-40FF-B2CF-91BAB053802F}" name="Escudería" dataDxfId="558" dataCellStyle="Normal 19"/>
    <tableColumn id="4" xr3:uid="{07EF17E4-F485-4DE3-ADE2-F399A0D561E6}" name="Piloto" dataDxfId="557" dataCellStyle="Normal 19"/>
    <tableColumn id="5" xr3:uid="{EE80B6AF-C6DB-4B19-902A-D360C72360CE}" name="Fed" dataDxfId="556" dataCellStyle="Normal 19"/>
    <tableColumn id="6" xr3:uid="{871A87B9-AE0D-4C7D-83BD-AD90484D3945}" name="Copiloto" dataDxfId="555" dataCellStyle="Normal 19"/>
    <tableColumn id="7" xr3:uid="{9AB68A8F-B140-46C1-B93F-29D0AE97B4FE}" name="Fed2" dataDxfId="554" dataCellStyle="Normal 19"/>
    <tableColumn id="8" xr3:uid="{9A781111-EB1F-400B-B15E-E9FE33E47990}" name="Vehículo" dataDxfId="553" dataCellStyle="Normal 19"/>
    <tableColumn id="9" xr3:uid="{80580ECC-D28D-4393-A7FA-CF4D7EB07491}" name="Grupo" dataDxfId="552" dataCellStyle="Normal 19"/>
    <tableColumn id="10" xr3:uid="{4583695D-1D21-4C4B-9096-A892494D3A4E}" name="Clase" dataDxfId="551" dataCellStyle="Normal 19"/>
    <tableColumn id="11" xr3:uid="{4E1CE9F3-312D-452B-846C-2F9FB58BBC3A}" name="Tiempo" dataDxfId="550" dataCellStyle="Normal 19"/>
    <tableColumn id="15" xr3:uid="{CBD07484-8E9B-4135-9E04-4C1EE65112AE}" name="CLAS SCRATCH" dataDxfId="549" dataCellStyle="Normal 19">
      <calculatedColumnFormula>IF(AND(E50="M",Tabla7101520[[#This Row],[POS]]&lt;&gt;"AB",Tabla7101520[[#This Row],[POS]]&lt;&gt;"DSQ"),COUNTIF($E$50:E50,"M"),"")</calculatedColumnFormula>
    </tableColumn>
    <tableColumn id="16" xr3:uid="{86D1E05D-4240-42B4-BE96-C5149AF947E4}" name="Puntos scratch" dataDxfId="548" dataCellStyle="Normal 19">
      <calculatedColumnFormula>IF(E50="M",IF(Tabla7101520[[#This Row],[Tiempo]]="AB","",LOOKUP(Tabla7101520[[#This Row],[CLAS SCRATCH]],'Datos puntos'!$A$2:$A$23,'Datos puntos'!$B$2:$B$23)),"")</calculatedColumnFormula>
    </tableColumn>
    <tableColumn id="17" xr3:uid="{9FDB224C-D879-444C-9F83-109013006872}" name="CLAS CLASE" dataDxfId="547" dataCellStyle="Normal 19">
      <calculatedColumnFormula>Tabla7101520[[#This Row],[CLAS SCRATCH]]</calculatedColumnFormula>
    </tableColumn>
    <tableColumn id="18" xr3:uid="{770E5712-0620-4301-890F-2D6660E0AF33}" name="Puntos clase" dataDxfId="546" dataCellStyle="Normal 19">
      <calculatedColumnFormula>IF(E50="M",IF(Tabla7101520[[#This Row],[Tiempo]]="AB","",LOOKUP(Tabla7101520[[#This Row],[CLAS CLASE]],'Datos puntos'!$A$25:$A$53,'Datos puntos'!$B$25:$B$53)),"")</calculatedColumnFormula>
    </tableColumn>
    <tableColumn id="19" xr3:uid="{D53BCC68-5907-4FCC-90D1-BF6AB1BDEF0A}" name="Suma de comprobación" dataDxfId="545" dataCellStyle="Normal 19">
      <calculatedColumnFormula>IF(Tabla7101520[[#This Row],[Puntos scratch]]="","NO PUNTÚA",SUM(Tabla7101520[[#This Row],[Puntos scratch]],Tabla7101520[[#This Row],[Puntos clase]])*2)</calculatedColumnFormula>
    </tableColumn>
    <tableColumn id="20" xr3:uid="{93912A34-F6F5-40BE-A1C8-F635345A9B32}" name="CLAS SCRATCH2" dataDxfId="544" dataCellStyle="Normal 19">
      <calculatedColumnFormula>IF(AND(G50="M",Tabla7101520[[#This Row],[POS]]&lt;&gt;"AB",Tabla7101520[[#This Row],[POS]]&lt;&gt;"DSQ"),COUNTIF($G$50:G50,"M"),"")</calculatedColumnFormula>
    </tableColumn>
    <tableColumn id="21" xr3:uid="{3C5D99E7-AC44-4DF1-85B1-090517889BC1}" name="Puntos scratch3" dataDxfId="543" dataCellStyle="Normal 19">
      <calculatedColumnFormula>IF(G50="M",IF(Tabla7101520[[#This Row],[Tiempo]]="AB","",LOOKUP(Tabla7101520[[#This Row],[CLAS SCRATCH2]],'Datos puntos'!$A$2:$A$23,'Datos puntos'!$B$2:$B$23)),"")</calculatedColumnFormula>
    </tableColumn>
    <tableColumn id="22" xr3:uid="{3600A742-977D-4FF7-8751-CF18C518FDEA}" name="CLAS CLASE2" dataDxfId="542" dataCellStyle="Normal 19">
      <calculatedColumnFormula>Tabla7101520[[#This Row],[CLAS SCRATCH2]]</calculatedColumnFormula>
    </tableColumn>
    <tableColumn id="23" xr3:uid="{83ADB597-1C5A-43DC-A89F-5EDE17ADB12F}" name="Puntos clase5" dataDxfId="541" dataCellStyle="Normal 19">
      <calculatedColumnFormula>IF(G50="M",IF(Tabla7101520[[#This Row],[Tiempo]]="AB","",LOOKUP(Tabla7101520[[#This Row],[CLAS CLASE2]],'Datos puntos'!$A$25:$A$53,'Datos puntos'!$B$25:$B$53)),"")</calculatedColumnFormula>
    </tableColumn>
    <tableColumn id="24" xr3:uid="{9B4C40CA-6B0F-480A-B04A-1177A5FAA31E}" name="Suma de comprobación6" dataDxfId="540" dataCellStyle="Normal 19">
      <calculatedColumnFormula>IF(Tabla7101520[[#This Row],[Puntos scratch3]]="","NO PUNTÚA",SUM(Tabla7101520[[#This Row],[Puntos scratch3]],Tabla7101520[[#This Row],[Puntos clase5]])*2)</calculatedColumnFormula>
    </tableColumn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66929AAE-A809-4025-A342-E8D50AD9F1FF}" name="Tabla23111621" displayName="Tabla23111621" ref="A65:N67" totalsRowShown="0" headerRowDxfId="539" dataDxfId="538">
  <autoFilter ref="A65:N67" xr:uid="{0CBC37F1-62DF-484C-B192-DC95846F7E8D}"/>
  <sortState xmlns:xlrd2="http://schemas.microsoft.com/office/spreadsheetml/2017/richdata2" ref="A66:I66">
    <sortCondition ref="I58:I60"/>
  </sortState>
  <tableColumns count="14">
    <tableColumn id="1" xr3:uid="{E3B27207-034E-4317-9DF6-81853BF73858}" name="POS" dataDxfId="537" dataCellStyle="Normal 20"/>
    <tableColumn id="2" xr3:uid="{C86174CB-5F60-42BE-8B27-2FCEB32CD08E}" name="Nº" dataDxfId="536"/>
    <tableColumn id="3" xr3:uid="{7EA6A3D4-B093-4888-8B4E-D6AA20D2EDF8}" name="Escudería" dataDxfId="535" dataCellStyle="Normal 20"/>
    <tableColumn id="4" xr3:uid="{2B7C805D-BBDE-4708-BDFF-DB851BE12773}" name="Tripulante" dataDxfId="534"/>
    <tableColumn id="5" xr3:uid="{3FF577C4-3795-4680-8426-E6B905516C98}" name="Fed." dataDxfId="533"/>
    <tableColumn id="8" xr3:uid="{8EDB3D28-C53E-4F9A-A98A-B1836CE8C060}" name="Vehículo" dataDxfId="532" dataCellStyle="Normal 20"/>
    <tableColumn id="9" xr3:uid="{5C62142A-7C7A-4610-9661-7D48E77B78E5}" name="Grupo" dataDxfId="531" dataCellStyle="Normal 20"/>
    <tableColumn id="10" xr3:uid="{FDD0F5B5-2047-4BA6-A891-71A44A5F5BA8}" name="Clase" dataDxfId="530"/>
    <tableColumn id="11" xr3:uid="{95EDFB22-2C64-4CF2-89ED-E1AED2971FCE}" name="Tiempo" dataDxfId="529"/>
    <tableColumn id="15" xr3:uid="{A6952901-94C5-4FE2-8138-479641F623F7}" name="CLAS SCRATCH" dataDxfId="528">
      <calculatedColumnFormula>IF(AND(E66="M",Tabla23111621[[#This Row],[POS]]&lt;&gt;"AB",Tabla23111621[[#This Row],[POS]]&lt;&gt;"DSQ"),COUNTIF($E$66:E66,"M"),"")</calculatedColumnFormula>
    </tableColumn>
    <tableColumn id="16" xr3:uid="{ABC44380-1D51-4274-90B3-A2F682F91A25}" name="Puntos scratch" dataDxfId="527">
      <calculatedColumnFormula>IF(E66="M",IF(Tabla23111621[[#This Row],[Tiempo]]="AB","",LOOKUP(Tabla23111621[[#This Row],[CLAS SCRATCH]],'Datos puntos'!$A$2:$A$23,'Datos puntos'!$B$2:$B$23)),"")</calculatedColumnFormula>
    </tableColumn>
    <tableColumn id="17" xr3:uid="{C897D530-5A51-4569-B3CE-12D188F78A8A}" name="CLAS CLASE" dataDxfId="526">
      <calculatedColumnFormula>Tabla23111621[[#This Row],[CLAS SCRATCH]]</calculatedColumnFormula>
    </tableColumn>
    <tableColumn id="18" xr3:uid="{5F92E852-497F-4F73-BB7B-5F57E364A961}" name="Puntos clase" dataDxfId="525">
      <calculatedColumnFormula>IF(E66="M",IF(Tabla23111621[[#This Row],[Tiempo]]="AB","",LOOKUP(Tabla23111621[[#This Row],[CLAS CLASE]],'Datos puntos'!$A$25:$A$53,'Datos puntos'!$B$25:$B$53)),"")</calculatedColumnFormula>
    </tableColumn>
    <tableColumn id="19" xr3:uid="{A2D5847B-9938-4BEB-A0B8-6C965E2125A8}" name="Suma de comprobación" dataDxfId="524">
      <calculatedColumnFormula>IF(Tabla23111621[[#This Row],[Puntos scratch]]="","NO PUNTÚA",SUM(Tabla23111621[[#This Row],[Puntos scratch]],Tabla23111621[[#This Row],[Puntos clase]])*2)</calculatedColumnFormula>
    </tableColumn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A1640B2-D295-42AD-A23E-58AC117A5FA3}" name="Tabla156" displayName="Tabla156" ref="A5:U36" totalsRowShown="0" headerRowDxfId="523" dataDxfId="522">
  <autoFilter ref="A5:U36" xr:uid="{533F8B80-D347-42BD-9798-A4AF8CC6A183}"/>
  <sortState xmlns:xlrd2="http://schemas.microsoft.com/office/spreadsheetml/2017/richdata2" ref="A6:K26">
    <sortCondition ref="K5:K26"/>
  </sortState>
  <tableColumns count="21">
    <tableColumn id="1" xr3:uid="{DB7CD36C-7BDA-492F-A6D5-D7BE9F11C9B6}" name="POS" dataDxfId="521"/>
    <tableColumn id="2" xr3:uid="{B1428888-C78F-4D92-8F3D-D005C323EFE1}" name="Nº" dataDxfId="520"/>
    <tableColumn id="3" xr3:uid="{82853FE3-DF64-4AEA-B490-2E99421EEC32}" name="Escudería" dataDxfId="519"/>
    <tableColumn id="4" xr3:uid="{79343DE9-9347-4136-A24B-069F7641CD43}" name="Piloto" dataDxfId="518"/>
    <tableColumn id="5" xr3:uid="{6FAC0545-36C0-460D-9C0D-907463398B62}" name="Fed." dataDxfId="517"/>
    <tableColumn id="6" xr3:uid="{BB3D0301-4FFA-47FD-A4FD-1D6167472F49}" name="Piloto2" dataDxfId="516"/>
    <tableColumn id="7" xr3:uid="{D80E298A-FE4C-4B89-8112-35A7FABFBBE7}" name="Fed.2" dataDxfId="515"/>
    <tableColumn id="8" xr3:uid="{7BD65E75-3149-4F92-9390-BDC33E35FBEC}" name="Vehículo" dataDxfId="514"/>
    <tableColumn id="9" xr3:uid="{BBF09B7A-5E74-473C-81EA-5BCE05F18513}" name="Grupo" dataDxfId="513"/>
    <tableColumn id="10" xr3:uid="{7DCB6655-8F94-49AE-A426-75DC914209D0}" name="Clase" dataDxfId="512"/>
    <tableColumn id="11" xr3:uid="{83274626-1904-4734-ACD5-8774ADA71E17}" name="Tiempo" dataDxfId="511"/>
    <tableColumn id="15" xr3:uid="{A436C8A1-1D2A-4E13-B129-05CD8E562FE5}" name="CLAS SCRATCH" dataDxfId="510">
      <calculatedColumnFormula>IF(AND(E6="M",Tabla156[[#This Row],[POS]]&lt;&gt;"AB",Tabla156[[#This Row],[POS]]&lt;&gt;"DSQ"),COUNTIF($E$6:E6,"M"),"")</calculatedColumnFormula>
    </tableColumn>
    <tableColumn id="16" xr3:uid="{62787CB1-0A49-4D54-B1CA-5DDF8461D2D4}" name="Puntos scratch" dataDxfId="509">
      <calculatedColumnFormula>IF(E6="M",IF(Tabla156[[#This Row],[Tiempo]]="AB","",LOOKUP(Tabla156[[#This Row],[CLAS SCRATCH]],'Datos puntos'!$A$2:$A$23,'Datos puntos'!$B$2:$B$23)),"")</calculatedColumnFormula>
    </tableColumn>
    <tableColumn id="17" xr3:uid="{6D29BC69-4FE6-4F5F-9950-267BF822359C}" name="CLAS CLASE" dataDxfId="508">
      <calculatedColumnFormula>IF(AND(E6="M",Tabla156[[#This Row],[POS]]&lt;&gt;"AB",Tabla156[[#This Row],[POS]]&lt;&gt;"DSQ"),COUNTIFS($J$6:J6,Tabla156[[#This Row],[Clase]],$E$6:E6,"M"),"")</calculatedColumnFormula>
    </tableColumn>
    <tableColumn id="18" xr3:uid="{ACE8AFB8-CB62-4D5F-B68C-FD6CBCAE9665}" name="Puntos clase" dataDxfId="507">
      <calculatedColumnFormula>IF(E6="M",IF(Tabla156[[#This Row],[Tiempo]]="AB","",LOOKUP(Tabla156[[#This Row],[CLAS CLASE]],'Datos puntos'!$A$25:$A$53,'Datos puntos'!$B$25:$B$53)),"")</calculatedColumnFormula>
    </tableColumn>
    <tableColumn id="19" xr3:uid="{7D9BE95F-5EB3-41D0-B811-66E9E0809CE0}" name="Suma de comprobación" dataDxfId="506">
      <calculatedColumnFormula>IF(Tabla156[[#This Row],[Puntos scratch]]="","NO PUNTÚA",SUM(Tabla156[[#This Row],[Puntos scratch]],Tabla156[[#This Row],[Puntos clase]]))</calculatedColumnFormula>
    </tableColumn>
    <tableColumn id="20" xr3:uid="{65A772D7-E4FE-452D-A982-FE27D6A17F08}" name="CLAS SCRATCH2" dataDxfId="505">
      <calculatedColumnFormula>IF(AND(G6="M",Tabla156[[#This Row],[POS]]&lt;&gt;"AB",Tabla156[[#This Row],[POS]]&lt;&gt;"DSQ"),COUNTIF($G$6:G6,"M"),"")</calculatedColumnFormula>
    </tableColumn>
    <tableColumn id="21" xr3:uid="{F9279EF0-0974-4033-A0E1-EBD8DF6C6B81}" name="Puntos scratch3" dataDxfId="504">
      <calculatedColumnFormula>IF(G6="M",IF(Tabla156[[#This Row],[Tiempo]]="AB","",LOOKUP(Tabla156[[#This Row],[CLAS SCRATCH2]],'Datos puntos'!$A$2:$A$23,'Datos puntos'!$B$2:$B$23)),"")</calculatedColumnFormula>
    </tableColumn>
    <tableColumn id="22" xr3:uid="{D6CBA66E-7B1C-453C-B4C5-A364E74249A9}" name="CLAS CLASE2" dataDxfId="503">
      <calculatedColumnFormula>IF(AND(G6="M",Tabla156[[#This Row],[POS]]&lt;&gt;"AB",Tabla156[[#This Row],[POS]]&lt;&gt;"DSQ"),COUNTIFS($J$6:J6,Tabla156[[#This Row],[Clase]],$G$6:G6,"M"),"")</calculatedColumnFormula>
    </tableColumn>
    <tableColumn id="23" xr3:uid="{3AC2D20E-C469-4F7D-BD18-E15607F987A0}" name="Puntos clase5" dataDxfId="502">
      <calculatedColumnFormula>IF(G6="M",IF(Tabla156[[#This Row],[Tiempo]]="AB","",LOOKUP(Tabla156[[#This Row],[CLAS CLASE2]],'Datos puntos'!$A$25:$A$53,'Datos puntos'!$B$25:$B$53)),"")</calculatedColumnFormula>
    </tableColumn>
    <tableColumn id="24" xr3:uid="{A3FED021-B8E6-4923-83BB-95E65360593E}" name="Suma de comprobación6" dataDxfId="501">
      <calculatedColumnFormula>IF(Tabla156[[#This Row],[Puntos scratch3]]="","NO PUNTÚA",SUM(Tabla156[[#This Row],[Puntos scratch3]],Tabla156[[#This Row],[Puntos clase5]]))</calculatedColumnFormula>
    </tableColumn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FD5D6EA-488B-4536-B931-595E8F9A78A0}" name="Tabla27" displayName="Tabla27" ref="A57:U61" totalsRowShown="0" headerRowDxfId="500" dataDxfId="499">
  <autoFilter ref="A57:U61" xr:uid="{89EBD1D5-DA63-45BC-9383-CB3B241F2AEE}"/>
  <sortState xmlns:xlrd2="http://schemas.microsoft.com/office/spreadsheetml/2017/richdata2" ref="A58:K61">
    <sortCondition ref="K57:K61"/>
  </sortState>
  <tableColumns count="21">
    <tableColumn id="1" xr3:uid="{4578F9A5-FAE9-4C5E-9B83-CB563D8EA9E2}" name="POS" dataDxfId="498" dataCellStyle="Normal 20"/>
    <tableColumn id="2" xr3:uid="{F16ABF94-1DEC-4A75-824E-A291E7783227}" name="Nº" dataDxfId="497"/>
    <tableColumn id="3" xr3:uid="{16ABC055-704F-40D0-BC5F-D8EA87BCC281}" name="Escudería" dataDxfId="496"/>
    <tableColumn id="4" xr3:uid="{72AF010A-BE63-4581-A2AC-EF5C56EE4A65}" name="Piloto" dataDxfId="495"/>
    <tableColumn id="5" xr3:uid="{C70738A9-5574-4CA5-A230-5BDD2BEF53C5}" name="Fed." dataDxfId="494"/>
    <tableColumn id="6" xr3:uid="{F265380A-2226-4153-9EE7-56602F1D8A83}" name="Copiloto" dataDxfId="493"/>
    <tableColumn id="7" xr3:uid="{3675EF2E-8495-4524-8186-456370370DEA}" name="Fed.2" dataDxfId="492"/>
    <tableColumn id="8" xr3:uid="{805EEEF1-8DDA-4D9D-8871-6FA15A908035}" name="Vehículo" dataDxfId="491"/>
    <tableColumn id="9" xr3:uid="{2FA01094-9D45-4F73-BE2D-4971B0FB033A}" name="Grupo" dataDxfId="490"/>
    <tableColumn id="10" xr3:uid="{BC2F42E2-FFDD-4466-8954-8F8C8FE810A4}" name="Clase" dataDxfId="489"/>
    <tableColumn id="11" xr3:uid="{0EF794BA-AE7B-4A1B-88C8-DD0FCD3F3732}" name="Tiempo" dataDxfId="488"/>
    <tableColumn id="15" xr3:uid="{E5B5DA0F-1626-4D91-8D97-3F27D194F51B}" name="CLAS SCRATCH" dataDxfId="487">
      <calculatedColumnFormula>IF(AND(E58="M",Tabla27[[#This Row],[POS]]&lt;&gt;"AB",Tabla27[[#This Row],[POS]]&lt;&gt;"DSQ"),COUNTIF($E$58:E58,"M"),"")</calculatedColumnFormula>
    </tableColumn>
    <tableColumn id="16" xr3:uid="{22125807-7722-4DA0-A3E7-796B9CA3B6CB}" name="Puntos scratch" dataDxfId="486">
      <calculatedColumnFormula>IF(E58="M",IF(Tabla27[[#This Row],[Tiempo]]="AB","",LOOKUP(Tabla27[[#This Row],[CLAS SCRATCH]],'Datos puntos'!$A$2:$A$23,'Datos puntos'!$B$2:$B$23)),"")</calculatedColumnFormula>
    </tableColumn>
    <tableColumn id="17" xr3:uid="{CED89096-97AD-403E-81A0-B2154B7627A5}" name="CLAS CLASE" dataDxfId="485">
      <calculatedColumnFormula>Tabla27[[#This Row],[CLAS SCRATCH]]</calculatedColumnFormula>
    </tableColumn>
    <tableColumn id="18" xr3:uid="{B9E5517F-749A-4AA5-BE90-EB6F00D27FF0}" name="Puntos clase" dataDxfId="484">
      <calculatedColumnFormula>IF(E58="M",IF(Tabla27[[#This Row],[Tiempo]]="AB","",LOOKUP(Tabla27[[#This Row],[CLAS CLASE]],'Datos puntos'!$A$25:$A$53,'Datos puntos'!$B$25:$B$53)),"")</calculatedColumnFormula>
    </tableColumn>
    <tableColumn id="19" xr3:uid="{E5A23FBA-C7A3-46E5-A589-A1B4FC7495B8}" name="Suma de comprobación" dataDxfId="483">
      <calculatedColumnFormula>IF(Tabla27[[#This Row],[Puntos scratch]]="","NO PUNTÚA",SUM(Tabla27[[#This Row],[Puntos scratch]],Tabla27[[#This Row],[Puntos clase]])*2)</calculatedColumnFormula>
    </tableColumn>
    <tableColumn id="20" xr3:uid="{6517E105-96E9-4E67-9F7D-C8E9DD2FB258}" name="CLAS SCRATCH2" dataDxfId="482">
      <calculatedColumnFormula>IF(AND(G58="M",Tabla27[[#This Row],[POS]]&lt;&gt;"AB",Tabla27[[#This Row],[POS]]&lt;&gt;"DSQ"),COUNTIF($G$58:G58,"M"),"")</calculatedColumnFormula>
    </tableColumn>
    <tableColumn id="21" xr3:uid="{52641C5F-CC28-499D-B769-87D7508A8DCC}" name="Puntos scratch3" dataDxfId="481">
      <calculatedColumnFormula>IF(G58="M",IF(Tabla27[[#This Row],[Tiempo]]="AB","",LOOKUP(Tabla27[[#This Row],[CLAS SCRATCH2]],'Datos puntos'!$A$2:$A$23,'Datos puntos'!$B$2:$B$23)),"")</calculatedColumnFormula>
    </tableColumn>
    <tableColumn id="22" xr3:uid="{254DD896-9F62-4E4A-AC16-8D2746E2BF35}" name="CLAS CLASE2" dataDxfId="480">
      <calculatedColumnFormula>Tabla27[[#This Row],[CLAS SCRATCH]]</calculatedColumnFormula>
    </tableColumn>
    <tableColumn id="23" xr3:uid="{C6A899BD-C0BC-4773-AB31-117C9F197801}" name="Puntos clase5" dataDxfId="479">
      <calculatedColumnFormula>IF(G58="M",IF(Tabla27[[#This Row],[Tiempo]]="AB","",LOOKUP(Tabla27[[#This Row],[CLAS CLASE2]],'Datos puntos'!$A$25:$A$53,'Datos puntos'!$B$25:$B$53)),"")</calculatedColumnFormula>
    </tableColumn>
    <tableColumn id="24" xr3:uid="{E62CA5C0-0EA3-42D0-AD92-A0C383E39303}" name="Suma de comprobación6" dataDxfId="478">
      <calculatedColumnFormula>IF(Tabla27[[#This Row],[Puntos scratch]]="","NO PUNTÚA",SUM(Tabla27[[#This Row],[Puntos scratch]],Tabla27[[#This Row],[Puntos clase]])*2)</calculatedColumnFormula>
    </tableColumn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197BA3B-35E2-44C0-A9A7-0C299C940D85}" name="Tabla329" displayName="Tabla329" ref="A40:U45" totalsRowShown="0" headerRowDxfId="477" dataDxfId="476" tableBorderDxfId="475">
  <autoFilter ref="A40:U45" xr:uid="{1ED47680-F9B8-4F7B-A508-875156995796}"/>
  <sortState xmlns:xlrd2="http://schemas.microsoft.com/office/spreadsheetml/2017/richdata2" ref="A41:K43">
    <sortCondition ref="K50:K54"/>
  </sortState>
  <tableColumns count="21">
    <tableColumn id="1" xr3:uid="{2D0D416E-71DB-4D74-9BEA-5738B1D7018B}" name="POS" dataDxfId="474"/>
    <tableColumn id="2" xr3:uid="{462F5506-DF56-407B-B57D-4C730C9D3B13}" name="Nº" dataDxfId="473"/>
    <tableColumn id="3" xr3:uid="{BF8937CE-B1E1-48D6-A415-7AFB88B16703}" name="Escudería" dataDxfId="472"/>
    <tableColumn id="4" xr3:uid="{BAFD0EF3-B025-4CDD-B8AE-D2AF136E57F5}" name="Piloto" dataDxfId="471"/>
    <tableColumn id="5" xr3:uid="{C4AD4F97-B605-4A21-A453-9D43B22145B3}" name="Fed." dataDxfId="470"/>
    <tableColumn id="6" xr3:uid="{DE26AFDE-C116-4D5D-BA73-43CB5BBA23BB}" name="Copiloto" dataDxfId="469"/>
    <tableColumn id="7" xr3:uid="{77D935F7-942F-45E8-B69B-237D52BE8885}" name="Fed.2" dataDxfId="468"/>
    <tableColumn id="8" xr3:uid="{BCB202DD-CEC4-47E6-A82D-4138D1FAAB65}" name="Vehículo" dataDxfId="467"/>
    <tableColumn id="9" xr3:uid="{DDED4669-CAC9-491C-9D0C-110FB957FB11}" name="Grupo" dataDxfId="466"/>
    <tableColumn id="10" xr3:uid="{DFC67ACD-7D36-4621-AAB1-5E20D4E17F88}" name="Clase" dataDxfId="465"/>
    <tableColumn id="11" xr3:uid="{1F4758C6-F7E0-4CD8-ABD3-4EF2ACD26376}" name="Tiempo" dataDxfId="464"/>
    <tableColumn id="15" xr3:uid="{00FFC691-C3E1-4101-A696-CA94598D1D8F}" name="CLAS SCRATCH" dataDxfId="463">
      <calculatedColumnFormula>IF(AND(E41="M",Tabla329[[#This Row],[POS]]&lt;&gt;"AB",Tabla329[[#This Row],[POS]]&lt;&gt;"DSQ"),COUNTIF($E$41:E41,"M"),"")</calculatedColumnFormula>
    </tableColumn>
    <tableColumn id="16" xr3:uid="{2336DE64-BA05-4019-8A3D-33A8E0BE32EA}" name="Puntos scratch" dataDxfId="462">
      <calculatedColumnFormula>IF(E41="M",IF(Tabla329[[#This Row],[Tiempo]]="AB","",LOOKUP(Tabla329[[#This Row],[CLAS SCRATCH]],'Datos puntos'!$A$2:$A$23,'Datos puntos'!$B$2:$B$23)),"")</calculatedColumnFormula>
    </tableColumn>
    <tableColumn id="17" xr3:uid="{EC63EBD6-49AB-442E-972C-5EC85F8CB8DC}" name="CLAS CLASE" dataDxfId="461">
      <calculatedColumnFormula>Tabla329[[#This Row],[CLAS SCRATCH]]</calculatedColumnFormula>
    </tableColumn>
    <tableColumn id="18" xr3:uid="{C7E7C085-B252-4EDE-8804-3D9250AC6731}" name="Puntos clase" dataDxfId="460">
      <calculatedColumnFormula>IF(E41="M",IF(Tabla329[[#This Row],[Tiempo]]="AB","",LOOKUP(Tabla329[[#This Row],[CLAS CLASE]],'Datos puntos'!$A$25:$A$53,'Datos puntos'!$B$25:$B$53)),"")</calculatedColumnFormula>
    </tableColumn>
    <tableColumn id="19" xr3:uid="{96436EEC-5547-4E69-BC48-C57788DC0E58}" name="Suma de comprobación" dataDxfId="459">
      <calculatedColumnFormula>IF(Tabla329[[#This Row],[Puntos scratch]]="","NO PUNTÚA",SUM(Tabla329[[#This Row],[Puntos scratch]],Tabla329[[#This Row],[Puntos clase]]))</calculatedColumnFormula>
    </tableColumn>
    <tableColumn id="20" xr3:uid="{B3A6A39B-9E67-4864-BC14-D5774929F814}" name="CLAS SCRATCH2" dataDxfId="458">
      <calculatedColumnFormula>IF(AND(G41="M",Tabla329[[#This Row],[POS]]&lt;&gt;"AB",Tabla329[[#This Row],[POS]]&lt;&gt;"DSQ"),COUNTIF($G$41:G41,"M"),"")</calculatedColumnFormula>
    </tableColumn>
    <tableColumn id="21" xr3:uid="{CD74CCAB-110D-493D-B40D-0C7C2C63F54B}" name="Puntos scratch3" dataDxfId="457">
      <calculatedColumnFormula>IF(G41="M",IF(Tabla329[[#This Row],[Tiempo]]="AB","",LOOKUP(Tabla329[[#This Row],[CLAS SCRATCH2]],'Datos puntos'!$A$2:$A$23,'Datos puntos'!$B$2:$B$23)),"")</calculatedColumnFormula>
    </tableColumn>
    <tableColumn id="22" xr3:uid="{2C4628E4-903A-45D5-9884-FDE9EB2D6338}" name="CLAS CLASE2" dataDxfId="456">
      <calculatedColumnFormula>Tabla329[[#This Row],[CLAS SCRATCH2]]</calculatedColumnFormula>
    </tableColumn>
    <tableColumn id="23" xr3:uid="{61140C14-0404-49D3-BE5C-D9FEBA8FE36A}" name="Puntos clase5" dataDxfId="455">
      <calculatedColumnFormula>IF(G41="M",IF(Tabla329[[#This Row],[Tiempo]]="AB","",LOOKUP(Tabla329[[#This Row],[CLAS CLASE2]],'Datos puntos'!$A$25:$A$53,'Datos puntos'!$B$25:$B$53)),"")</calculatedColumnFormula>
    </tableColumn>
    <tableColumn id="24" xr3:uid="{3D9AE56E-C129-4F4D-A610-FC17D992630D}" name="Suma de comprobación6" dataDxfId="454">
      <calculatedColumnFormula>IF(Tabla329[[#This Row],[Puntos scratch3]]="","NO PUNTÚA",SUM(Tabla329[[#This Row],[Puntos scratch3]],Tabla329[[#This Row],[Puntos clase5]]))</calculatedColumnFormula>
    </tableColumn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ABC00BDE-CD86-4B73-95FF-1D0615873E83}" name="Tabla710" displayName="Tabla710" ref="A49:U55" totalsRowShown="0">
  <autoFilter ref="A49:U55" xr:uid="{FED10FF5-A9BB-4B41-A0B8-2F909777C2DC}"/>
  <tableColumns count="21">
    <tableColumn id="1" xr3:uid="{D98FAFAF-7F71-4082-AACD-5A7B93640120}" name="POS" dataDxfId="453" dataCellStyle="Normal 20"/>
    <tableColumn id="2" xr3:uid="{4EF5DED8-6962-4E07-BF48-806EBD19BB76}" name="Nº" dataDxfId="452" dataCellStyle="Normal 20"/>
    <tableColumn id="3" xr3:uid="{4F1907DC-D29F-4FBA-B75C-37B87CDDCD15}" name="Escudería" dataDxfId="451" dataCellStyle="Normal 20"/>
    <tableColumn id="4" xr3:uid="{8AD6BCBA-C61A-45B8-9F8F-CF029F216AFC}" name="Piloto" dataDxfId="450" dataCellStyle="Normal 20"/>
    <tableColumn id="5" xr3:uid="{266BCF18-9E20-455B-8DBE-6C273BFB0A28}" name="Fed" dataDxfId="449" dataCellStyle="Normal 20"/>
    <tableColumn id="6" xr3:uid="{85871A25-A44C-4254-89CB-FF06868E01ED}" name="Copiloto" dataDxfId="448" dataCellStyle="Normal 20"/>
    <tableColumn id="7" xr3:uid="{4C71E43A-37F1-40B2-8524-BBA583138ED7}" name="Fed2" dataDxfId="447" dataCellStyle="Normal 20"/>
    <tableColumn id="8" xr3:uid="{9C36EDB7-14B2-41BE-8740-A8A67FB34D5F}" name="Vehículo" dataDxfId="446" dataCellStyle="Normal 20"/>
    <tableColumn id="9" xr3:uid="{2BE11893-FE01-4A93-8616-4A4C7153DEE8}" name="Grupo" dataDxfId="445" dataCellStyle="Normal 20"/>
    <tableColumn id="10" xr3:uid="{6ED7166A-7E83-4ED8-8C5B-7B01C8020158}" name="Clase" dataDxfId="444" dataCellStyle="Normal 20"/>
    <tableColumn id="11" xr3:uid="{71203016-91C9-463E-AC83-5D88F4119F64}" name="Tiempo" dataDxfId="443" dataCellStyle="Normal 20"/>
    <tableColumn id="15" xr3:uid="{0F010BBF-7E5F-45F9-8B40-68F76A657197}" name="CLAS SCRATCH" dataDxfId="442" dataCellStyle="Normal 20">
      <calculatedColumnFormula>IF(AND(E50="M",Tabla710[[#This Row],[POS]]&lt;&gt;"AB",Tabla710[[#This Row],[POS]]&lt;&gt;"DSQ"),COUNTIF($E$50:E50,"M"),"")</calculatedColumnFormula>
    </tableColumn>
    <tableColumn id="16" xr3:uid="{BDBB3F5A-EF20-4AD3-94D9-36CD358C2844}" name="Puntos scratch" dataDxfId="441" dataCellStyle="Normal 20">
      <calculatedColumnFormula>IF(E50="M",IF(Tabla710[[#This Row],[Tiempo]]="AB","",LOOKUP(Tabla710[[#This Row],[CLAS SCRATCH]],'Datos puntos'!$A$2:$A$23,'Datos puntos'!$B$2:$B$23)),"")</calculatedColumnFormula>
    </tableColumn>
    <tableColumn id="17" xr3:uid="{50DF4F70-436F-42FC-A1F4-DD98BB3B4E8A}" name="CLAS CLASE" dataDxfId="440" dataCellStyle="Normal 20">
      <calculatedColumnFormula>Tabla710[[#This Row],[CLAS SCRATCH]]</calculatedColumnFormula>
    </tableColumn>
    <tableColumn id="18" xr3:uid="{C0A7B4FD-370C-4E65-B3DC-7E260064AEAF}" name="Puntos clase" dataDxfId="439" dataCellStyle="Normal 20">
      <calculatedColumnFormula>IF(E50="M",IF(Tabla710[[#This Row],[Tiempo]]="AB","",LOOKUP(Tabla710[[#This Row],[CLAS CLASE]],'Datos puntos'!$A$25:$A$53,'Datos puntos'!$B$25:$B$53)),"")</calculatedColumnFormula>
    </tableColumn>
    <tableColumn id="19" xr3:uid="{0F1AF0C9-4877-4303-B500-98C923268000}" name="Suma de comprobación" dataDxfId="438" dataCellStyle="Normal 20">
      <calculatedColumnFormula>IF(Tabla710[[#This Row],[Puntos scratch]]="","NO PUNTÚA",SUM(Tabla710[[#This Row],[Puntos scratch]],Tabla710[[#This Row],[Puntos clase]]))</calculatedColumnFormula>
    </tableColumn>
    <tableColumn id="20" xr3:uid="{D1B1E79D-95A1-4EC8-B3CA-7A220386644C}" name="CLAS SCRATCH2" dataDxfId="437" dataCellStyle="Normal 20">
      <calculatedColumnFormula>IF(AND(G50="M",Tabla710[[#This Row],[POS]]&lt;&gt;"AB",Tabla710[[#This Row],[POS]]&lt;&gt;"DSQ"),COUNTIF($G$50:G50,"M"),"")</calculatedColumnFormula>
    </tableColumn>
    <tableColumn id="21" xr3:uid="{5CC77C0B-B468-4333-AEDD-0681A7DD3FCD}" name="Puntos scratch3" dataDxfId="436" dataCellStyle="Normal 20">
      <calculatedColumnFormula>IF(G50="M",IF(Tabla710[[#This Row],[Tiempo]]="AB","",LOOKUP(Tabla710[[#This Row],[CLAS SCRATCH2]],'Datos puntos'!$A$2:$A$23,'Datos puntos'!$B$2:$B$23)),"")</calculatedColumnFormula>
    </tableColumn>
    <tableColumn id="22" xr3:uid="{DD762D65-8C5D-4D1E-BFD4-5CE25E5B4875}" name="CLAS CLASE2" dataDxfId="435" dataCellStyle="Normal 20">
      <calculatedColumnFormula>Tabla710[[#This Row],[CLAS SCRATCH2]]</calculatedColumnFormula>
    </tableColumn>
    <tableColumn id="23" xr3:uid="{02E8D31A-8FCE-46EC-81F3-AD06148A3056}" name="Puntos clase5" dataDxfId="434" dataCellStyle="Normal 20">
      <calculatedColumnFormula>IF(G50="M",IF(Tabla710[[#This Row],[Tiempo]]="AB","",LOOKUP(Tabla710[[#This Row],[CLAS CLASE2]],'Datos puntos'!$A$25:$A$53,'Datos puntos'!$B$25:$B$53)),"")</calculatedColumnFormula>
    </tableColumn>
    <tableColumn id="24" xr3:uid="{071541B2-AC58-4098-8590-BCAAB571E703}" name="Suma de comprobación6" dataDxfId="433" dataCellStyle="Normal 20">
      <calculatedColumnFormula>IF(Tabla710[[#This Row],[Puntos scratch3]]="","NO PUNTÚA",SUM(Tabla710[[#This Row],[Puntos scratch3]],Tabla710[[#This Row],[Puntos clase5]]))</calculatedColumnFormula>
    </tableColumn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3C486F1-9F0B-42D2-A6C8-7AC894DBA41A}" name="Tabla2311" displayName="Tabla2311" ref="A64:N68" totalsRowShown="0" headerRowDxfId="432" dataDxfId="431">
  <autoFilter ref="A64:N68" xr:uid="{0CBC37F1-62DF-484C-B192-DC95846F7E8D}"/>
  <sortState xmlns:xlrd2="http://schemas.microsoft.com/office/spreadsheetml/2017/richdata2" ref="A65:I68">
    <sortCondition ref="I57:I61"/>
  </sortState>
  <tableColumns count="14">
    <tableColumn id="1" xr3:uid="{98273E61-BB97-4EF0-B4CD-B1C02952A077}" name="POS" dataDxfId="430" dataCellStyle="Normal 20"/>
    <tableColumn id="2" xr3:uid="{170BA1FC-87D9-4F70-B30D-8A032C26C6BB}" name="Nº" dataDxfId="429"/>
    <tableColumn id="3" xr3:uid="{C269E3B3-CE91-42FA-8424-712A790841F9}" name="Escudería" dataDxfId="428"/>
    <tableColumn id="4" xr3:uid="{9788A18C-D41C-492A-A62A-E051F2F7C3D2}" name="Tripulante" dataDxfId="427"/>
    <tableColumn id="5" xr3:uid="{8F80D565-8061-4E73-8598-E0EDE6BEDFD6}" name="Fed." dataDxfId="426"/>
    <tableColumn id="8" xr3:uid="{7D4FD73A-2D5E-4DEB-8B44-3D8FE1247A1A}" name="Vehículo" dataDxfId="425"/>
    <tableColumn id="9" xr3:uid="{874C2241-D447-44C1-AF53-A357B5766572}" name="Grupo" dataDxfId="424"/>
    <tableColumn id="10" xr3:uid="{D9EEA198-1F8D-47B3-8A29-62623B5237C6}" name="Clase" dataDxfId="423"/>
    <tableColumn id="11" xr3:uid="{4EE721E1-0831-46B7-A561-70D6C8E8DBE5}" name="Tiempo" dataDxfId="422"/>
    <tableColumn id="15" xr3:uid="{7A034A56-C465-40CB-9675-5855BF9D240F}" name="CLAS SCRATCH" dataDxfId="421">
      <calculatedColumnFormula>IF(AND(E65="M",Tabla2311[[#This Row],[POS]]&lt;&gt;"AB",Tabla2311[[#This Row],[POS]]&lt;&gt;"DSQ"),COUNTIF($E$58:E65,"M"),"")</calculatedColumnFormula>
    </tableColumn>
    <tableColumn id="16" xr3:uid="{DE8E75E9-48E4-490C-BFD5-EDE85CE0A5B4}" name="Puntos scratch" dataDxfId="420">
      <calculatedColumnFormula>IF(E65="M",IF(Tabla2311[[#This Row],[Tiempo]]="AB","",LOOKUP(Tabla2311[[#This Row],[CLAS SCRATCH]],'Datos puntos'!$A$2:$A$23,'Datos puntos'!$B$2:$B$23)),"")</calculatedColumnFormula>
    </tableColumn>
    <tableColumn id="17" xr3:uid="{9CF55AAB-489B-4A8C-8345-16D6DF812335}" name="CLAS CLASE" dataDxfId="419">
      <calculatedColumnFormula>Tabla2311[[#This Row],[CLAS SCRATCH]]</calculatedColumnFormula>
    </tableColumn>
    <tableColumn id="18" xr3:uid="{9EF7588B-9968-4219-8B79-CB0FDD780191}" name="Puntos clase" dataDxfId="418">
      <calculatedColumnFormula>IF(E65="M",IF(Tabla2311[[#This Row],[Tiempo]]="AB","",LOOKUP(Tabla2311[[#This Row],[CLAS CLASE]],'Datos puntos'!$A$25:$A$53,'Datos puntos'!$B$25:$B$53)),"")</calculatedColumnFormula>
    </tableColumn>
    <tableColumn id="19" xr3:uid="{B91F7A0C-552D-4446-9C3B-FAD5BC754A17}" name="Suma de comprobación" dataDxfId="417">
      <calculatedColumnFormula>IF(Tabla2311[[#This Row],[Puntos scratch]]="","NO PUNTÚA",SUM(Tabla2311[[#This Row],[Puntos scratch]],Tabla2311[[#This Row],[Puntos clase]])*2)</calculatedColumnFormula>
    </tableColumn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9FD7B17E-BF3A-4A78-852D-A3928C3DC955}" name="Tabla1532" displayName="Tabla1532" ref="A5:U36" totalsRowShown="0" headerRowDxfId="416" dataDxfId="415">
  <autoFilter ref="A5:U36" xr:uid="{533F8B80-D347-42BD-9798-A4AF8CC6A183}"/>
  <sortState xmlns:xlrd2="http://schemas.microsoft.com/office/spreadsheetml/2017/richdata2" ref="A6:K26">
    <sortCondition ref="K5:K26"/>
  </sortState>
  <tableColumns count="21">
    <tableColumn id="1" xr3:uid="{BAD24065-FC4E-4EBA-ACC7-1E53F2E856A8}" name="POS" dataDxfId="414"/>
    <tableColumn id="2" xr3:uid="{C1DB7D1E-4CFE-417F-99D6-2B14955DAD2B}" name="Nº" dataDxfId="413"/>
    <tableColumn id="3" xr3:uid="{DF10A771-05E6-4594-9981-23C4AB9F5DDA}" name="Escudería" dataDxfId="412"/>
    <tableColumn id="4" xr3:uid="{7AE4CA18-4AD9-40D3-98FA-B3D426FF4809}" name="Piloto" dataDxfId="411"/>
    <tableColumn id="5" xr3:uid="{B521EF80-1E7B-458F-944C-818DCB95A70B}" name="Fed." dataDxfId="410"/>
    <tableColumn id="6" xr3:uid="{338CD326-234D-44AC-B8DF-A204E39B4253}" name="Piloto2" dataDxfId="409"/>
    <tableColumn id="7" xr3:uid="{8F039B6B-BE82-4377-AF68-4136E23AFBD4}" name="Fed.2" dataDxfId="408"/>
    <tableColumn id="8" xr3:uid="{CEEA4101-E1E4-4404-8793-F04A601A6DAD}" name="Vehículo" dataDxfId="407"/>
    <tableColumn id="9" xr3:uid="{46138307-3514-4925-B518-2AB00F683F7D}" name="Grupo" dataDxfId="406"/>
    <tableColumn id="10" xr3:uid="{D907D66D-BAC6-4C45-BFC0-D07C148D6DB8}" name="Clase" dataDxfId="405"/>
    <tableColumn id="11" xr3:uid="{02852C1B-83AA-4498-AE7F-22D376650A33}" name="Tiempo" dataDxfId="404"/>
    <tableColumn id="15" xr3:uid="{BEAA5516-8254-4970-90D1-352965973097}" name="CLAS SCRATCH" dataDxfId="403">
      <calculatedColumnFormula>IF(AND(E6="M",Tabla1532[[#This Row],[POS]]&lt;&gt;"AB",Tabla1532[[#This Row],[POS]]&lt;&gt;"DSQ"),COUNTIF($E$6:E6,"M"),"")</calculatedColumnFormula>
    </tableColumn>
    <tableColumn id="16" xr3:uid="{A966A1AF-EF4A-4EE3-BDCC-9FCE5606ABC1}" name="Puntos scratch" dataDxfId="402">
      <calculatedColumnFormula>IF(E6="M",IF(Tabla1532[[#This Row],[Tiempo]]="AB","",LOOKUP(Tabla1532[[#This Row],[CLAS SCRATCH]],'Datos puntos'!$A$2:$A$23,'Datos puntos'!$B$2:$B$23)),"")</calculatedColumnFormula>
    </tableColumn>
    <tableColumn id="17" xr3:uid="{38581816-8646-4730-AC58-D105DF807F20}" name="CLAS CLASE" dataDxfId="401">
      <calculatedColumnFormula>IF(AND(E6="M",Tabla1532[[#This Row],[POS]]&lt;&gt;"AB",Tabla1532[[#This Row],[POS]]&lt;&gt;"DSQ"),COUNTIFS($J$6:J6,Tabla1532[[#This Row],[Clase]],$E$6:E6,"M"),"")</calculatedColumnFormula>
    </tableColumn>
    <tableColumn id="18" xr3:uid="{4C41A365-A8F3-49B2-8F07-3BEF7EB0367C}" name="Puntos clase" dataDxfId="400">
      <calculatedColumnFormula>IF(E6="M",IF(Tabla1532[[#This Row],[Tiempo]]="AB","",LOOKUP(Tabla1532[[#This Row],[CLAS CLASE]],'Datos puntos'!$A$25:$A$53,'Datos puntos'!$B$25:$B$53)),"")</calculatedColumnFormula>
    </tableColumn>
    <tableColumn id="19" xr3:uid="{0839C3E9-A191-4FC8-8AB6-44873D47CD76}" name="Suma de comprobación" dataDxfId="399">
      <calculatedColumnFormula>IF(Tabla1532[[#This Row],[Puntos scratch]]="","NO PUNTÚA",SUM(Tabla1532[[#This Row],[Puntos scratch]],Tabla1532[[#This Row],[Puntos clase]]))</calculatedColumnFormula>
    </tableColumn>
    <tableColumn id="20" xr3:uid="{DF4963C4-8A88-42A1-B973-BD30ABBB94F3}" name="CLAS SCRATCH2" dataDxfId="398">
      <calculatedColumnFormula>IF(AND(G6="M",Tabla1532[[#This Row],[POS]]&lt;&gt;"AB",Tabla1532[[#This Row],[POS]]&lt;&gt;"DSQ"),COUNTIF($G$6:G6,"M"),"")</calculatedColumnFormula>
    </tableColumn>
    <tableColumn id="21" xr3:uid="{4299A8DD-93B0-46CD-A818-802734CF29FB}" name="Puntos scratch3" dataDxfId="397">
      <calculatedColumnFormula>IF(G6="M",IF(Tabla1532[[#This Row],[Tiempo]]="AB","",LOOKUP(Tabla1532[[#This Row],[CLAS SCRATCH2]],'Datos puntos'!$A$2:$A$23,'Datos puntos'!$B$2:$B$23)),"")</calculatedColumnFormula>
    </tableColumn>
    <tableColumn id="22" xr3:uid="{361272A9-979C-4E7E-9768-6D42522061AD}" name="CLAS CLASE2" dataDxfId="396">
      <calculatedColumnFormula>IF(AND(G6="M",Tabla1532[[#This Row],[POS]]&lt;&gt;"AB",Tabla1532[[#This Row],[POS]]&lt;&gt;"DSQ"),COUNTIFS($J$6:J6,Tabla1532[[#This Row],[Clase]],$G$6:G6,"M"),"")</calculatedColumnFormula>
    </tableColumn>
    <tableColumn id="23" xr3:uid="{34D42573-A3CB-4C40-BE0E-858A43442F77}" name="Puntos clase5" dataDxfId="395">
      <calculatedColumnFormula>IF(G6="M",IF(Tabla1532[[#This Row],[Tiempo]]="AB","",LOOKUP(Tabla1532[[#This Row],[CLAS CLASE2]],'Datos puntos'!$A$25:$A$53,'Datos puntos'!$B$25:$B$53)),"")</calculatedColumnFormula>
    </tableColumn>
    <tableColumn id="24" xr3:uid="{B224C69A-3541-4812-B258-CA438F9C6E27}" name="Suma de comprobación6" dataDxfId="394">
      <calculatedColumnFormula>IF(Tabla1532[[#This Row],[Puntos scratch3]]="","NO PUNTÚA",SUM(Tabla1532[[#This Row],[Puntos scratch3]],Tabla1532[[#This Row],[Puntos clase5]]))</calculatedColumnFormula>
    </tableColumn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73EC4C9C-03D3-46EA-BF77-7F658E3A5405}" name="Tabla233" displayName="Tabla233" ref="A57:U61" totalsRowShown="0" headerRowDxfId="393" dataDxfId="392">
  <autoFilter ref="A57:U61" xr:uid="{89EBD1D5-DA63-45BC-9383-CB3B241F2AEE}"/>
  <sortState xmlns:xlrd2="http://schemas.microsoft.com/office/spreadsheetml/2017/richdata2" ref="A58:K61">
    <sortCondition ref="K57:K61"/>
  </sortState>
  <tableColumns count="21">
    <tableColumn id="1" xr3:uid="{4938C502-D6B6-4BF5-934A-6B684C7F881C}" name="POS" dataDxfId="391" dataCellStyle="Normal 20"/>
    <tableColumn id="2" xr3:uid="{95887E46-32D7-44FD-82C4-5EF6313AB865}" name="Nº" dataDxfId="390"/>
    <tableColumn id="3" xr3:uid="{4D30F133-556E-4661-BD11-D5D80CD405F5}" name="Escudería" dataDxfId="389"/>
    <tableColumn id="4" xr3:uid="{A19CB6DC-8AF5-4D73-BDDF-621E2EF5DAE2}" name="Piloto" dataDxfId="388"/>
    <tableColumn id="5" xr3:uid="{2713313F-E199-437B-9A1B-A0541A42AEAD}" name="Fed." dataDxfId="387"/>
    <tableColumn id="6" xr3:uid="{9C0433A6-C791-4F9D-8A25-1173785E6681}" name="Copiloto" dataDxfId="386"/>
    <tableColumn id="7" xr3:uid="{622D6BE4-1283-4D6D-9F46-A46B1783F10F}" name="Fed.2" dataDxfId="385"/>
    <tableColumn id="8" xr3:uid="{5D4BF9B0-3779-469D-B020-DC3586A748A5}" name="Vehículo" dataDxfId="384"/>
    <tableColumn id="9" xr3:uid="{59816234-BC4A-4A09-A12E-B3C33B92BCF8}" name="Grupo" dataDxfId="383"/>
    <tableColumn id="10" xr3:uid="{31D21CB5-C7E5-46EF-AE79-2EC121B5C1FD}" name="Clase" dataDxfId="382"/>
    <tableColumn id="11" xr3:uid="{8F4FDF3C-2439-4214-927D-1B76533DF3E4}" name="Tiempo" dataDxfId="381"/>
    <tableColumn id="15" xr3:uid="{1BDC0F05-3ADA-4343-976F-9BE839E55D7D}" name="CLAS SCRATCH" dataDxfId="380">
      <calculatedColumnFormula>IF(AND(E58="M",Tabla233[[#This Row],[POS]]&lt;&gt;"AB",Tabla233[[#This Row],[POS]]&lt;&gt;"DSQ"),COUNTIF($E$58:E58,"M"),"")</calculatedColumnFormula>
    </tableColumn>
    <tableColumn id="16" xr3:uid="{B79B1528-2ED8-40A7-A5E9-F3035F74020F}" name="Puntos scratch" dataDxfId="379">
      <calculatedColumnFormula>IF(E58="M",IF(Tabla233[[#This Row],[Tiempo]]="AB","",LOOKUP(Tabla233[[#This Row],[CLAS SCRATCH]],'Datos puntos'!$A$2:$A$23,'Datos puntos'!$B$2:$B$23)),"")</calculatedColumnFormula>
    </tableColumn>
    <tableColumn id="17" xr3:uid="{4F1A095D-47B1-4CEC-84F2-A5180CB4901A}" name="CLAS CLASE" dataDxfId="378">
      <calculatedColumnFormula>Tabla233[[#This Row],[CLAS SCRATCH]]</calculatedColumnFormula>
    </tableColumn>
    <tableColumn id="18" xr3:uid="{AFFE4378-B2F8-4039-B919-58F9DF5C48B8}" name="Puntos clase" dataDxfId="377">
      <calculatedColumnFormula>IF(E58="M",IF(Tabla233[[#This Row],[Tiempo]]="AB","",LOOKUP(Tabla233[[#This Row],[CLAS CLASE]],'Datos puntos'!$A$25:$A$53,'Datos puntos'!$B$25:$B$53)),"")</calculatedColumnFormula>
    </tableColumn>
    <tableColumn id="19" xr3:uid="{AC36A22D-4601-4552-96FD-33D246A46BD2}" name="Suma de comprobación" dataDxfId="376">
      <calculatedColumnFormula>IF(Tabla233[[#This Row],[Puntos scratch]]="","NO PUNTÚA",SUM(Tabla233[[#This Row],[Puntos scratch]],Tabla233[[#This Row],[Puntos clase]]))</calculatedColumnFormula>
    </tableColumn>
    <tableColumn id="20" xr3:uid="{5E0DDAE4-3AA6-438F-ADDB-191F6A5480E8}" name="CLAS SCRATCH2" dataDxfId="375">
      <calculatedColumnFormula>IF(AND(G58="M",Tabla233[[#This Row],[POS]]&lt;&gt;"AB",Tabla233[[#This Row],[POS]]&lt;&gt;"DSQ"),COUNTIF($G$58:G58,"M"),"")</calculatedColumnFormula>
    </tableColumn>
    <tableColumn id="21" xr3:uid="{67F728FB-5A63-42E4-97A7-4FA34DC691EA}" name="Puntos scratch3" dataDxfId="374">
      <calculatedColumnFormula>IF(G58="M",IF(Tabla233[[#This Row],[Tiempo]]="AB","",LOOKUP(Tabla233[[#This Row],[CLAS SCRATCH2]],'Datos puntos'!$A$2:$A$23,'Datos puntos'!$B$2:$B$23)),"")</calculatedColumnFormula>
    </tableColumn>
    <tableColumn id="22" xr3:uid="{573D0564-3F10-47B6-8C28-B5C61EA252C6}" name="CLAS CLASE2" dataDxfId="373">
      <calculatedColumnFormula>Tabla233[[#This Row],[CLAS SCRATCH]]</calculatedColumnFormula>
    </tableColumn>
    <tableColumn id="23" xr3:uid="{92A81BE5-B4BC-4912-8ACC-346FEEFE147C}" name="Puntos clase5" dataDxfId="372">
      <calculatedColumnFormula>IF(G58="M",IF(Tabla233[[#This Row],[Tiempo]]="AB","",LOOKUP(Tabla233[[#This Row],[CLAS CLASE2]],'Datos puntos'!$A$25:$A$53,'Datos puntos'!$B$25:$B$53)),"")</calculatedColumnFormula>
    </tableColumn>
    <tableColumn id="24" xr3:uid="{FFF44F66-2402-460E-B139-FB5A2301BB26}" name="Suma de comprobación6" dataDxfId="371">
      <calculatedColumnFormula>IF(Tabla233[[#This Row],[Puntos scratch]]="","NO PUNTÚA",SUM(Tabla233[[#This Row],[Puntos scratch]],Tabla233[[#This Row],[Puntos clase]]))</calculatedColumnFormula>
    </tableColumn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4AE93764-2208-4A72-85FC-DB4348692FB2}" name="Tabla3234" displayName="Tabla3234" ref="A40:U45" totalsRowShown="0" headerRowDxfId="370" dataDxfId="369" tableBorderDxfId="368">
  <autoFilter ref="A40:U45" xr:uid="{1ED47680-F9B8-4F7B-A508-875156995796}"/>
  <sortState xmlns:xlrd2="http://schemas.microsoft.com/office/spreadsheetml/2017/richdata2" ref="A41:K43">
    <sortCondition ref="K50:K54"/>
  </sortState>
  <tableColumns count="21">
    <tableColumn id="1" xr3:uid="{A8A56AD2-E630-4D58-97C0-7B67E9221EA9}" name="POS" dataDxfId="367"/>
    <tableColumn id="2" xr3:uid="{CD3B9B9B-FEDD-4902-A04D-E007A5846D9D}" name="Nº" dataDxfId="366"/>
    <tableColumn id="3" xr3:uid="{4307A4F0-9030-4393-B5ED-23A49EB7380F}" name="Escudería" dataDxfId="365"/>
    <tableColumn id="4" xr3:uid="{CD6A2C44-17B9-46EA-B30E-77E10289ECC5}" name="Piloto" dataDxfId="364"/>
    <tableColumn id="5" xr3:uid="{679BDB10-F7FA-4FA2-8EE8-7D7FAACA5D49}" name="Fed." dataDxfId="363"/>
    <tableColumn id="6" xr3:uid="{4FC12803-5567-4366-ADA7-DEF7CA0724D4}" name="Copiloto" dataDxfId="362"/>
    <tableColumn id="7" xr3:uid="{346207B4-5557-4349-8D73-C9D9FA44D3E4}" name="Fed.2" dataDxfId="361"/>
    <tableColumn id="8" xr3:uid="{E695A36D-F96D-4E1E-94E6-AAFA9C39A669}" name="Vehículo" dataDxfId="360"/>
    <tableColumn id="9" xr3:uid="{3F2EE9D7-FB34-4292-A66A-040F3AC2018B}" name="Grupo" dataDxfId="359"/>
    <tableColumn id="10" xr3:uid="{47D80C7C-44FC-4E74-A501-1858C253EB89}" name="Clase" dataDxfId="358"/>
    <tableColumn id="11" xr3:uid="{DA9E9D3E-43C0-4856-8CEE-5AA3B7596640}" name="Tiempo" dataDxfId="357"/>
    <tableColumn id="15" xr3:uid="{0967198E-AD05-4F34-BB52-19149387E528}" name="CLAS SCRATCH" dataDxfId="356">
      <calculatedColumnFormula>IF(AND(E41="M",Tabla3234[[#This Row],[POS]]&lt;&gt;"AB",Tabla3234[[#This Row],[POS]]&lt;&gt;"DSQ"),COUNTIF($E$41:E41,"M"),"")</calculatedColumnFormula>
    </tableColumn>
    <tableColumn id="16" xr3:uid="{4DE17768-59B0-4990-8F8E-9BE268FBAFA3}" name="Puntos scratch" dataDxfId="355">
      <calculatedColumnFormula>IF(E41="M",IF(Tabla3234[[#This Row],[Tiempo]]="AB","",LOOKUP(Tabla3234[[#This Row],[CLAS SCRATCH]],'Datos puntos'!$A$2:$A$23,'Datos puntos'!$B$2:$B$23)),"")</calculatedColumnFormula>
    </tableColumn>
    <tableColumn id="17" xr3:uid="{1F1465E9-1227-4504-AC32-54F7BF0B7C62}" name="CLAS CLASE" dataDxfId="354">
      <calculatedColumnFormula>Tabla3234[[#This Row],[CLAS SCRATCH]]</calculatedColumnFormula>
    </tableColumn>
    <tableColumn id="18" xr3:uid="{8CE8637E-F348-4352-875D-34E57C68722C}" name="Puntos clase" dataDxfId="353">
      <calculatedColumnFormula>IF(E41="M",IF(Tabla3234[[#This Row],[Tiempo]]="AB","",LOOKUP(Tabla3234[[#This Row],[CLAS CLASE]],'Datos puntos'!$A$25:$A$53,'Datos puntos'!$B$25:$B$53)),"")</calculatedColumnFormula>
    </tableColumn>
    <tableColumn id="19" xr3:uid="{B2B83BED-42C9-4F15-B319-71DBEC188CD3}" name="Suma de comprobación" dataDxfId="352">
      <calculatedColumnFormula>IF(Tabla3234[[#This Row],[Puntos scratch]]="","NO PUNTÚA",SUM(Tabla3234[[#This Row],[Puntos scratch]],Tabla3234[[#This Row],[Puntos clase]]))</calculatedColumnFormula>
    </tableColumn>
    <tableColumn id="20" xr3:uid="{83413642-D90C-4594-9588-338EF69B7841}" name="CLAS SCRATCH2" dataDxfId="351">
      <calculatedColumnFormula>IF(AND(G41="M",Tabla3234[[#This Row],[POS]]&lt;&gt;"AB",Tabla3234[[#This Row],[POS]]&lt;&gt;"DSQ"),COUNTIF($G$41:G41,"M"),"")</calculatedColumnFormula>
    </tableColumn>
    <tableColumn id="21" xr3:uid="{E120151B-38FF-47F2-BD0E-4E29B110A049}" name="Puntos scratch3" dataDxfId="350">
      <calculatedColumnFormula>IF(G41="M",IF(Tabla3234[[#This Row],[Tiempo]]="AB","",LOOKUP(Tabla3234[[#This Row],[CLAS SCRATCH2]],'Datos puntos'!$A$2:$A$23,'Datos puntos'!$B$2:$B$23)),"")</calculatedColumnFormula>
    </tableColumn>
    <tableColumn id="22" xr3:uid="{3635F3EB-3D27-4A7A-891A-9C008B129F00}" name="CLAS CLASE2" dataDxfId="349">
      <calculatedColumnFormula>Tabla3234[[#This Row],[CLAS SCRATCH2]]</calculatedColumnFormula>
    </tableColumn>
    <tableColumn id="23" xr3:uid="{3D2A2B8D-9C8B-437C-93F8-FB733ECE5544}" name="Puntos clase5" dataDxfId="348">
      <calculatedColumnFormula>IF(G41="M",IF(Tabla3234[[#This Row],[Tiempo]]="AB","",LOOKUP(Tabla3234[[#This Row],[CLAS CLASE2]],'Datos puntos'!$A$25:$A$53,'Datos puntos'!$B$25:$B$53)),"")</calculatedColumnFormula>
    </tableColumn>
    <tableColumn id="24" xr3:uid="{AF897A38-EBC8-4980-9E3B-B160D9008AF1}" name="Suma de comprobación6" dataDxfId="347">
      <calculatedColumnFormula>IF(Tabla3234[[#This Row],[Puntos scratch3]]="","NO PUNTÚA",SUM(Tabla3234[[#This Row],[Puntos scratch3]],Tabla3234[[#This Row],[Puntos clase5]]))</calculatedColumnFormula>
    </tableColumn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FC49D582-EC19-459C-B306-768D630032EC}" name="Tabla735" displayName="Tabla735" ref="A49:U55" totalsRowShown="0">
  <autoFilter ref="A49:U55" xr:uid="{FED10FF5-A9BB-4B41-A0B8-2F909777C2DC}"/>
  <tableColumns count="21">
    <tableColumn id="1" xr3:uid="{A836468F-0B3E-4942-9C8B-7F7254C1725D}" name="POS" dataDxfId="346" dataCellStyle="Normal 20"/>
    <tableColumn id="2" xr3:uid="{B867F684-6D90-4B6D-A1C1-44DA99EB8FEF}" name="Nº" dataDxfId="345" dataCellStyle="Normal 20"/>
    <tableColumn id="3" xr3:uid="{6CA09F6A-7D65-4DDE-AD36-F17EFC27A8D4}" name="Escudería" dataDxfId="344" dataCellStyle="Normal 20"/>
    <tableColumn id="4" xr3:uid="{EF8448E1-3267-48A7-B9E9-D39B7F12069C}" name="Piloto" dataDxfId="343" dataCellStyle="Normal 20"/>
    <tableColumn id="5" xr3:uid="{C62D633B-2C83-4360-989B-086F7553AB84}" name="Fed" dataDxfId="342" dataCellStyle="Normal 20"/>
    <tableColumn id="6" xr3:uid="{D5F0AFC2-FEBD-4FFF-9196-A3823BB16BBF}" name="Copiloto" dataDxfId="341" dataCellStyle="Normal 20"/>
    <tableColumn id="7" xr3:uid="{3FD97F40-008B-4FC3-9097-8F250334DCF5}" name="Fed2" dataDxfId="340" dataCellStyle="Normal 20"/>
    <tableColumn id="8" xr3:uid="{FEFB6EA1-D438-479F-8FFF-D545D7BA6029}" name="Vehículo" dataDxfId="339" dataCellStyle="Normal 20"/>
    <tableColumn id="9" xr3:uid="{CE9E00C4-E87E-4639-9AE5-EEE03A43A0E8}" name="Grupo" dataDxfId="338" dataCellStyle="Normal 20"/>
    <tableColumn id="10" xr3:uid="{6D6B051F-F68D-44D8-B6C8-152C06040DB7}" name="Clase" dataDxfId="337" dataCellStyle="Normal 20"/>
    <tableColumn id="11" xr3:uid="{E251170C-B38F-41B6-8ECE-213FFCF8A710}" name="Tiempo" dataDxfId="336" dataCellStyle="Normal 20"/>
    <tableColumn id="15" xr3:uid="{15EFAD6F-759A-4491-9948-57A69970EEE8}" name="CLAS SCRATCH" dataDxfId="335" dataCellStyle="Normal 20">
      <calculatedColumnFormula>IF(AND(E50="M",Tabla735[[#This Row],[POS]]&lt;&gt;"AB",Tabla735[[#This Row],[POS]]&lt;&gt;"DSQ"),COUNTIF($E$50:E50,"M"),"")</calculatedColumnFormula>
    </tableColumn>
    <tableColumn id="16" xr3:uid="{2394F4C8-E561-489D-925D-734A8E420AC2}" name="Puntos scratch" dataDxfId="334" dataCellStyle="Normal 20">
      <calculatedColumnFormula>IF(E50="M",IF(Tabla735[[#This Row],[Tiempo]]="AB","",LOOKUP(Tabla735[[#This Row],[CLAS SCRATCH]],'Datos puntos'!$A$2:$A$23,'Datos puntos'!$B$2:$B$23)),"")</calculatedColumnFormula>
    </tableColumn>
    <tableColumn id="17" xr3:uid="{2D383096-C3B2-4647-8049-6ACA7E440050}" name="CLAS CLASE" dataDxfId="333" dataCellStyle="Normal 20">
      <calculatedColumnFormula>Tabla735[[#This Row],[CLAS SCRATCH]]</calculatedColumnFormula>
    </tableColumn>
    <tableColumn id="18" xr3:uid="{9C780378-B6E5-4A03-8273-C80FA23F7198}" name="Puntos clase" dataDxfId="332" dataCellStyle="Normal 20">
      <calculatedColumnFormula>IF(E50="M",IF(Tabla735[[#This Row],[Tiempo]]="AB","",LOOKUP(Tabla735[[#This Row],[CLAS CLASE]],'Datos puntos'!$A$25:$A$53,'Datos puntos'!$B$25:$B$53)),"")</calculatedColumnFormula>
    </tableColumn>
    <tableColumn id="19" xr3:uid="{982FD4D9-CC8A-4837-A4FD-37ABD08996DA}" name="Suma de comprobación" dataDxfId="331" dataCellStyle="Normal 20">
      <calculatedColumnFormula>IF(Tabla735[[#This Row],[Puntos scratch]]="","NO PUNTÚA",SUM(Tabla735[[#This Row],[Puntos scratch]],Tabla735[[#This Row],[Puntos clase]]))</calculatedColumnFormula>
    </tableColumn>
    <tableColumn id="20" xr3:uid="{3D0658E2-24C5-4E09-9225-1CA3C5ED6D1D}" name="CLAS SCRATCH2" dataDxfId="330" dataCellStyle="Normal 20">
      <calculatedColumnFormula>IF(AND(G50="M",Tabla735[[#This Row],[POS]]&lt;&gt;"AB",Tabla735[[#This Row],[POS]]&lt;&gt;"DSQ"),COUNTIF($G$50:G50,"M"),"")</calculatedColumnFormula>
    </tableColumn>
    <tableColumn id="21" xr3:uid="{408A3D03-349A-4AD5-840D-68A43BB34276}" name="Puntos scratch3" dataDxfId="329" dataCellStyle="Normal 20">
      <calculatedColumnFormula>IF(G50="M",IF(Tabla735[[#This Row],[Tiempo]]="AB","",LOOKUP(Tabla735[[#This Row],[CLAS SCRATCH2]],'Datos puntos'!$A$2:$A$23,'Datos puntos'!$B$2:$B$23)),"")</calculatedColumnFormula>
    </tableColumn>
    <tableColumn id="22" xr3:uid="{91A82233-C5E9-4BB0-9232-159DAC3DF5CF}" name="CLAS CLASE2" dataDxfId="328" dataCellStyle="Normal 20">
      <calculatedColumnFormula>Tabla735[[#This Row],[CLAS SCRATCH2]]</calculatedColumnFormula>
    </tableColumn>
    <tableColumn id="23" xr3:uid="{3B022ED6-15B9-4DF3-972C-6792FA0316AE}" name="Puntos clase5" dataDxfId="327" dataCellStyle="Normal 20">
      <calculatedColumnFormula>IF(G50="M",IF(Tabla735[[#This Row],[Tiempo]]="AB","",LOOKUP(Tabla735[[#This Row],[CLAS CLASE2]],'Datos puntos'!$A$25:$A$53,'Datos puntos'!$B$25:$B$53)),"")</calculatedColumnFormula>
    </tableColumn>
    <tableColumn id="24" xr3:uid="{559B5E42-7BEC-4318-B281-E9A3CE4B2A66}" name="Suma de comprobación6" dataDxfId="326" dataCellStyle="Normal 20">
      <calculatedColumnFormula>IF(Tabla735[[#This Row],[Puntos scratch3]]="","NO PUNTÚA",SUM(Tabla735[[#This Row],[Puntos scratch3]],Tabla735[[#This Row],[Puntos clase5]]))</calculatedColumnFormula>
    </tableColumn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E090141A-B15A-4C3C-9E0E-89F0143FB6DA}" name="Tabla2336" displayName="Tabla2336" ref="A64:N68" totalsRowShown="0" headerRowDxfId="325" dataDxfId="324">
  <autoFilter ref="A64:N68" xr:uid="{0CBC37F1-62DF-484C-B192-DC95846F7E8D}"/>
  <sortState xmlns:xlrd2="http://schemas.microsoft.com/office/spreadsheetml/2017/richdata2" ref="A65:I68">
    <sortCondition ref="I57:I61"/>
  </sortState>
  <tableColumns count="14">
    <tableColumn id="1" xr3:uid="{8074679A-9CA0-47D8-AFAF-D204FB49FDE9}" name="POS" dataDxfId="323" dataCellStyle="Normal 20"/>
    <tableColumn id="2" xr3:uid="{4DD1ADD6-5D3B-433A-BF2A-856CA2248DCA}" name="Nº" dataDxfId="322"/>
    <tableColumn id="3" xr3:uid="{F0D612D5-5943-4C47-A64E-8769372B882E}" name="Escudería" dataDxfId="321"/>
    <tableColumn id="4" xr3:uid="{09143D07-A796-446B-B7EE-D8ADB0B7BCAA}" name="Tripulante" dataDxfId="320"/>
    <tableColumn id="5" xr3:uid="{8A0D7F3B-A1BC-4A10-9320-82344605560B}" name="Fed." dataDxfId="319"/>
    <tableColumn id="8" xr3:uid="{F51C6537-B02E-4675-93D3-3CA0D0567B00}" name="Vehículo" dataDxfId="318"/>
    <tableColumn id="9" xr3:uid="{8AF6D05F-D736-4FE4-B35B-328C31B3B282}" name="Grupo" dataDxfId="317"/>
    <tableColumn id="10" xr3:uid="{B1FF231C-6DE6-471B-9962-70575ACC1DEF}" name="Clase" dataDxfId="316"/>
    <tableColumn id="11" xr3:uid="{152E7CC7-6CA9-4849-98F0-4D58CE6CBD63}" name="Tiempo" dataDxfId="315"/>
    <tableColumn id="15" xr3:uid="{EDAA9BD1-D1D8-42A7-AD4C-32BA8FFB39A3}" name="CLAS SCRATCH" dataDxfId="314">
      <calculatedColumnFormula>IF(AND(E65="M",Tabla2336[[#This Row],[POS]]&lt;&gt;"AB",Tabla2336[[#This Row],[POS]]&lt;&gt;"DSQ"),COUNTIF($E$58:E65,"M"),"")</calculatedColumnFormula>
    </tableColumn>
    <tableColumn id="16" xr3:uid="{A63CB9E8-1755-44F6-BEFE-73521E0556FE}" name="Puntos scratch" dataDxfId="313">
      <calculatedColumnFormula>IF(E65="M",IF(Tabla2336[[#This Row],[Tiempo]]="AB","",LOOKUP(Tabla2336[[#This Row],[CLAS SCRATCH]],'Datos puntos'!$A$2:$A$23,'Datos puntos'!$B$2:$B$23)),"")</calculatedColumnFormula>
    </tableColumn>
    <tableColumn id="17" xr3:uid="{3C4B8D10-5606-4CCC-827A-F50463430F25}" name="CLAS CLASE" dataDxfId="312">
      <calculatedColumnFormula>Tabla2336[[#This Row],[CLAS SCRATCH]]</calculatedColumnFormula>
    </tableColumn>
    <tableColumn id="18" xr3:uid="{6344E244-74BD-4E67-8102-084DE6298E90}" name="Puntos clase" dataDxfId="311">
      <calculatedColumnFormula>IF(E65="M",IF(Tabla2336[[#This Row],[Tiempo]]="AB","",LOOKUP(Tabla2336[[#This Row],[CLAS CLASE]],'Datos puntos'!$A$25:$A$53,'Datos puntos'!$B$25:$B$53)),"")</calculatedColumnFormula>
    </tableColumn>
    <tableColumn id="19" xr3:uid="{B08F1378-E926-48E4-BA3E-33040BB9D76C}" name="Suma de comprobación" dataDxfId="310">
      <calculatedColumnFormula>IF(Tabla2336[[#This Row],[Puntos scratch]]="","NO PUNTÚA",SUM(Tabla2336[[#This Row],[Puntos scratch]],Tabla2336[[#This Row],[Puntos clase]])*2)</calculatedColumnFormula>
    </tableColumn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9EA47DD-F13B-4589-B742-40071BDC5180}" name="Tabla15" displayName="Tabla15" ref="A5:U36" totalsRowShown="0" headerRowDxfId="309" dataDxfId="308">
  <autoFilter ref="A5:U36" xr:uid="{533F8B80-D347-42BD-9798-A4AF8CC6A183}"/>
  <sortState xmlns:xlrd2="http://schemas.microsoft.com/office/spreadsheetml/2017/richdata2" ref="A6:K26">
    <sortCondition ref="K5:K26"/>
  </sortState>
  <tableColumns count="21">
    <tableColumn id="1" xr3:uid="{236CC350-8075-4653-9FD7-2F48DD554232}" name="POS" dataDxfId="307"/>
    <tableColumn id="2" xr3:uid="{5F13EE60-0509-4B0C-AF30-078D6D407252}" name="Nº" dataDxfId="306"/>
    <tableColumn id="3" xr3:uid="{C9872F73-01CC-46E2-8976-B7F98DD3E965}" name="Escudería" dataDxfId="305"/>
    <tableColumn id="4" xr3:uid="{17F400C2-2317-474B-8AD8-4EC295D6E925}" name="Piloto" dataDxfId="304"/>
    <tableColumn id="5" xr3:uid="{744057B2-130D-43BB-B5FE-D87890CCD73F}" name="Fed." dataDxfId="303"/>
    <tableColumn id="6" xr3:uid="{CA84B2EA-D19E-41E1-B1B5-F48DAC7FDF97}" name="Piloto2" dataDxfId="302"/>
    <tableColumn id="7" xr3:uid="{AE29E355-A537-43A1-966E-EF3471D7F92E}" name="Fed.2" dataDxfId="301"/>
    <tableColumn id="8" xr3:uid="{75ADA7E3-67ED-47F7-A38F-0BD83086085C}" name="Vehículo" dataDxfId="300"/>
    <tableColumn id="9" xr3:uid="{69F4649C-0A83-49F2-97E9-E68C9C2F9135}" name="Grupo" dataDxfId="299"/>
    <tableColumn id="10" xr3:uid="{6029F798-1331-4485-8DCB-2D7632F2D53D}" name="Clase" dataDxfId="298"/>
    <tableColumn id="11" xr3:uid="{2A096D00-1FAF-46AC-AEA4-305AD20F93D2}" name="Tiempo" dataDxfId="297"/>
    <tableColumn id="15" xr3:uid="{D8D2D0FE-A337-41B3-88E5-AFBB6998EFDC}" name="CLAS SCRATCH" dataDxfId="296">
      <calculatedColumnFormula>IF(AND(E6="M",Tabla15[[#This Row],[POS]]&lt;&gt;"AB",Tabla15[[#This Row],[POS]]&lt;&gt;"DSQ"),COUNTIF($E$6:E6,"M"),"")</calculatedColumnFormula>
    </tableColumn>
    <tableColumn id="16" xr3:uid="{27FDB8FC-C0BA-4A09-AF50-6FD8D5F6D145}" name="Puntos scratch" dataDxfId="295">
      <calculatedColumnFormula>IF(E6="M",IF(Tabla15[[#This Row],[Tiempo]]="AB","",LOOKUP(Tabla15[[#This Row],[CLAS SCRATCH]],'Datos puntos'!$A$2:$A$23,'Datos puntos'!$B$2:$B$23)),"")</calculatedColumnFormula>
    </tableColumn>
    <tableColumn id="17" xr3:uid="{B6EF771F-12AD-4D57-BB70-FE40D06EDC50}" name="CLAS CLASE" dataDxfId="294">
      <calculatedColumnFormula>IF(AND(E6="M",Tabla15[[#This Row],[POS]]&lt;&gt;"AB",Tabla15[[#This Row],[POS]]&lt;&gt;"DSQ"),COUNTIFS($J$6:J6,Tabla15[[#This Row],[Clase]],$E$6:E6,"M"),"")</calculatedColumnFormula>
    </tableColumn>
    <tableColumn id="18" xr3:uid="{BC2DC37B-91A4-446A-93B7-8409CC2BA9A9}" name="Puntos clase" dataDxfId="293">
      <calculatedColumnFormula>IF(E6="M",IF(Tabla15[[#This Row],[Tiempo]]="AB","",LOOKUP(Tabla15[[#This Row],[CLAS CLASE]],'Datos puntos'!$A$25:$A$53,'Datos puntos'!$B$25:$B$53)),"")</calculatedColumnFormula>
    </tableColumn>
    <tableColumn id="19" xr3:uid="{B05BB830-8DE9-43AF-BD2C-52E36AA46853}" name="Suma de comprobación" dataDxfId="292">
      <calculatedColumnFormula>IF(Tabla15[[#This Row],[Puntos scratch]]="","NO PUNTÚA",SUM(Tabla15[[#This Row],[Puntos scratch]],Tabla15[[#This Row],[Puntos clase]])*2)</calculatedColumnFormula>
    </tableColumn>
    <tableColumn id="20" xr3:uid="{154F45CC-3EA8-4C5F-9694-3FD74BE5FDAA}" name="CLAS SCRATCH2" dataDxfId="291">
      <calculatedColumnFormula>IF(AND(G6="M",Tabla15[[#This Row],[POS]]&lt;&gt;"AB",Tabla15[[#This Row],[POS]]&lt;&gt;"DSQ"),COUNTIF($G$6:G6,"M"),"")</calculatedColumnFormula>
    </tableColumn>
    <tableColumn id="21" xr3:uid="{202E5B13-C068-42A9-8C00-D677A44C58B3}" name="Puntos scratch3" dataDxfId="290">
      <calculatedColumnFormula>IF(G6="M",IF(Tabla15[[#This Row],[Tiempo]]="AB","",LOOKUP(Tabla15[[#This Row],[CLAS SCRATCH2]],'Datos puntos'!$A$2:$A$23,'Datos puntos'!$B$2:$B$23)),"")</calculatedColumnFormula>
    </tableColumn>
    <tableColumn id="22" xr3:uid="{78663E16-35C5-46CA-9C4F-4CFE5AC5F64E}" name="CLAS CLASE2" dataDxfId="289">
      <calculatedColumnFormula>IF(AND(G6="M",Tabla15[[#This Row],[POS]]&lt;&gt;"AB",Tabla15[[#This Row],[POS]]&lt;&gt;"DSQ"),COUNTIFS($J$6:J6,Tabla15[[#This Row],[Clase]],$G$6:G6,"M"),"")</calculatedColumnFormula>
    </tableColumn>
    <tableColumn id="23" xr3:uid="{A36167A8-C608-4A2D-A2F1-3612E8277D63}" name="Puntos clase5" dataDxfId="288">
      <calculatedColumnFormula>IF(G6="M",IF(Tabla15[[#This Row],[Tiempo]]="AB","",LOOKUP(Tabla15[[#This Row],[CLAS CLASE2]],'Datos puntos'!$A$25:$A$53,'Datos puntos'!$B$25:$B$53)),"")</calculatedColumnFormula>
    </tableColumn>
    <tableColumn id="24" xr3:uid="{88CB37FC-151C-4A68-AC69-D2FAD06C3001}" name="Suma de comprobación6" dataDxfId="287">
      <calculatedColumnFormula>IF(Tabla15[[#This Row],[Puntos scratch3]]="","NO PUNTÚA",SUM(Tabla15[[#This Row],[Puntos scratch3]],Tabla15[[#This Row],[Puntos clase5]])*2)</calculatedColumnFormula>
    </tableColumn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F7A76E2-2433-4247-97C9-8011081661E8}" name="Tabla2" displayName="Tabla2" ref="A57:U61" totalsRowShown="0" headerRowDxfId="286" dataDxfId="285">
  <autoFilter ref="A57:U61" xr:uid="{89EBD1D5-DA63-45BC-9383-CB3B241F2AEE}"/>
  <sortState xmlns:xlrd2="http://schemas.microsoft.com/office/spreadsheetml/2017/richdata2" ref="A58:K61">
    <sortCondition ref="K57:K61"/>
  </sortState>
  <tableColumns count="21">
    <tableColumn id="1" xr3:uid="{2175A3E5-28CF-45CA-990E-1F1A0CE7590E}" name="POS" dataDxfId="284" dataCellStyle="Normal 20"/>
    <tableColumn id="2" xr3:uid="{98058C56-07A5-4BD8-9A7C-FC4CFC4EF57B}" name="Nº" dataDxfId="283"/>
    <tableColumn id="3" xr3:uid="{56E6421B-5016-4638-8153-D5344D863C48}" name="Escudería" dataDxfId="282"/>
    <tableColumn id="4" xr3:uid="{B8208A6A-E558-46F6-95C1-6272FB73F800}" name="Piloto" dataDxfId="281"/>
    <tableColumn id="5" xr3:uid="{42224A23-BD9E-457E-BABD-8D3D2F02DC78}" name="Fed." dataDxfId="280"/>
    <tableColumn id="6" xr3:uid="{F3BD661E-6728-4064-9D89-61574A483805}" name="Copiloto" dataDxfId="279"/>
    <tableColumn id="7" xr3:uid="{6EA80D04-DA7C-4081-A0E9-8EEFC7A1F829}" name="Fed.2" dataDxfId="278"/>
    <tableColumn id="8" xr3:uid="{7FF6059D-06C9-4D2C-8483-54D83CE80FA3}" name="Vehículo" dataDxfId="277"/>
    <tableColumn id="9" xr3:uid="{5C5F9016-7868-4FBB-B8FD-6FC1A754A1C1}" name="Grupo" dataDxfId="276"/>
    <tableColumn id="10" xr3:uid="{655D0CD4-6802-430C-A7A2-A418A0FDD39A}" name="Clase" dataDxfId="275"/>
    <tableColumn id="11" xr3:uid="{995FCFE4-6AAB-46BD-A421-DBDB1C66C276}" name="Tiempo" dataDxfId="274"/>
    <tableColumn id="15" xr3:uid="{20FEBF2F-798A-4595-BA66-5D52C22AFAA6}" name="CLAS SCRATCH" dataDxfId="273">
      <calculatedColumnFormula>IF(AND(E58="M",Tabla2[[#This Row],[POS]]&lt;&gt;"AB",Tabla2[[#This Row],[POS]]&lt;&gt;"DSQ"),COUNTIF($E$58:E58,"M"),"")</calculatedColumnFormula>
    </tableColumn>
    <tableColumn id="16" xr3:uid="{A920C1CE-1AEB-4BDF-A934-D0AA926BFDB6}" name="Puntos scratch" dataDxfId="272">
      <calculatedColumnFormula>IF(E58="M",IF(Tabla2[[#This Row],[Tiempo]]="AB","",LOOKUP(Tabla2[[#This Row],[CLAS SCRATCH]],'Datos puntos'!$A$2:$A$23,'Datos puntos'!$B$2:$B$23)),"")</calculatedColumnFormula>
    </tableColumn>
    <tableColumn id="17" xr3:uid="{48635627-5731-44E4-A79F-D5A4DA74A626}" name="CLAS CLASE" dataDxfId="271">
      <calculatedColumnFormula>Tabla2[[#This Row],[CLAS SCRATCH]]</calculatedColumnFormula>
    </tableColumn>
    <tableColumn id="18" xr3:uid="{CC529010-CEA1-4E23-99E8-24D42B0AC4BC}" name="Puntos clase" dataDxfId="270">
      <calculatedColumnFormula>IF(E58="M",IF(Tabla2[[#This Row],[Tiempo]]="AB","",LOOKUP(Tabla2[[#This Row],[CLAS CLASE]],'Datos puntos'!$A$25:$A$53,'Datos puntos'!$B$25:$B$53)),"")</calculatedColumnFormula>
    </tableColumn>
    <tableColumn id="19" xr3:uid="{BB748204-9952-4039-8203-BA882610617A}" name="Suma de comprobación" dataDxfId="269">
      <calculatedColumnFormula>IF(Tabla2[[#This Row],[Puntos scratch]]="","NO PUNTÚA",SUM(Tabla2[[#This Row],[Puntos scratch]],Tabla2[[#This Row],[Puntos clase]])*2)</calculatedColumnFormula>
    </tableColumn>
    <tableColumn id="20" xr3:uid="{300221F2-CEFA-4FB7-902A-355DF56B0D33}" name="CLAS SCRATCH2" dataDxfId="268">
      <calculatedColumnFormula>IF(AND(G58="M",Tabla2[[#This Row],[POS]]&lt;&gt;"AB",Tabla2[[#This Row],[POS]]&lt;&gt;"DSQ"),COUNTIF($G$58:G58,"M"),"")</calculatedColumnFormula>
    </tableColumn>
    <tableColumn id="21" xr3:uid="{8D6E2274-AD7D-4442-A5D3-3E513B3FE975}" name="Puntos scratch3" dataDxfId="267">
      <calculatedColumnFormula>IF(G58="M",IF(Tabla2[[#This Row],[Tiempo]]="AB","",LOOKUP(Tabla2[[#This Row],[CLAS SCRATCH2]],'Datos puntos'!$A$2:$A$23,'Datos puntos'!$B$2:$B$23)),"")</calculatedColumnFormula>
    </tableColumn>
    <tableColumn id="22" xr3:uid="{7EF70A81-E4E3-403C-B702-35A1C6F47FA4}" name="CLAS CLASE2" dataDxfId="266">
      <calculatedColumnFormula>Tabla2[[#This Row],[CLAS SCRATCH]]</calculatedColumnFormula>
    </tableColumn>
    <tableColumn id="23" xr3:uid="{A3A6F74E-1D6A-4034-BCFC-FE3E4A982107}" name="Puntos clase5" dataDxfId="265">
      <calculatedColumnFormula>IF(G58="M",IF(Tabla2[[#This Row],[Tiempo]]="AB","",LOOKUP(Tabla2[[#This Row],[CLAS CLASE2]],'Datos puntos'!$A$25:$A$53,'Datos puntos'!$B$25:$B$53)),"")</calculatedColumnFormula>
    </tableColumn>
    <tableColumn id="24" xr3:uid="{398C972D-4D4B-447B-8DF7-35BB64468792}" name="Suma de comprobación6" dataDxfId="264">
      <calculatedColumnFormula>IF(Tabla2[[#This Row],[Puntos scratch]]="","NO PUNTÚA",SUM(Tabla2[[#This Row],[Puntos scratch]],Tabla2[[#This Row],[Puntos clase]])*2)</calculatedColumnFormula>
    </tableColumn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D47680-F9B8-4F7B-A508-875156995796}" name="Tabla32" displayName="Tabla32" ref="A40:U45" totalsRowShown="0" headerRowDxfId="263" dataDxfId="262" tableBorderDxfId="261">
  <autoFilter ref="A40:U45" xr:uid="{1ED47680-F9B8-4F7B-A508-875156995796}"/>
  <sortState xmlns:xlrd2="http://schemas.microsoft.com/office/spreadsheetml/2017/richdata2" ref="A41:K43">
    <sortCondition ref="K50:K54"/>
  </sortState>
  <tableColumns count="21">
    <tableColumn id="1" xr3:uid="{C3BF50E9-17D6-43BC-8E44-FF491F5F0D09}" name="POS" dataDxfId="260"/>
    <tableColumn id="2" xr3:uid="{D897B9A0-28AA-4D87-B5FB-BBDA62809E80}" name="Nº" dataDxfId="259"/>
    <tableColumn id="3" xr3:uid="{209F891A-FDFD-4BC5-B749-EE651A7BDE6D}" name="Escudería" dataDxfId="258"/>
    <tableColumn id="4" xr3:uid="{9299260D-C9AE-4AA2-9B09-C42728723404}" name="Piloto" dataDxfId="257"/>
    <tableColumn id="5" xr3:uid="{C682F23E-0069-4287-965C-7793ABF7D672}" name="Fed." dataDxfId="256"/>
    <tableColumn id="6" xr3:uid="{6A77EB78-4A6F-4C37-90CD-5181E8CFE0C8}" name="Copiloto" dataDxfId="255"/>
    <tableColumn id="7" xr3:uid="{FA6FDF91-BB17-442E-A2FD-CBC9DE82E569}" name="Fed.2" dataDxfId="254"/>
    <tableColumn id="8" xr3:uid="{019DBEFC-E18F-4EFE-BB04-7687016E3A68}" name="Vehículo" dataDxfId="253"/>
    <tableColumn id="9" xr3:uid="{966A73F5-303D-4263-9CB8-FF6CDFA99C3C}" name="Grupo" dataDxfId="252"/>
    <tableColumn id="10" xr3:uid="{5DDC67F0-8159-481E-8397-843C4DDC0CA0}" name="Clase" dataDxfId="251"/>
    <tableColumn id="11" xr3:uid="{E58C89CA-30C4-485B-9156-4E43D5695749}" name="Tiempo" dataDxfId="250"/>
    <tableColumn id="15" xr3:uid="{0E99D868-9932-46F8-B371-A4754D6E602E}" name="CLAS SCRATCH" dataDxfId="249">
      <calculatedColumnFormula>IF(AND(E41="M",Tabla32[[#This Row],[POS]]&lt;&gt;"AB",Tabla32[[#This Row],[POS]]&lt;&gt;"DSQ"),COUNTIF($E$41:E41,"M"),"")</calculatedColumnFormula>
    </tableColumn>
    <tableColumn id="16" xr3:uid="{CD9636DB-18ED-4ED6-AF58-06B703487123}" name="Puntos scratch" dataDxfId="248">
      <calculatedColumnFormula>IF(E41="M",IF(Tabla32[[#This Row],[Tiempo]]="AB","",LOOKUP(Tabla32[[#This Row],[CLAS SCRATCH]],'Datos puntos'!$A$2:$A$23,'Datos puntos'!$B$2:$B$23)),"")</calculatedColumnFormula>
    </tableColumn>
    <tableColumn id="17" xr3:uid="{10FC6FC0-DC2C-4806-A061-7C039E554622}" name="CLAS CLASE" dataDxfId="247">
      <calculatedColumnFormula>Tabla32[[#This Row],[CLAS SCRATCH]]</calculatedColumnFormula>
    </tableColumn>
    <tableColumn id="18" xr3:uid="{D5A446A6-4E15-4EAD-8F15-843851251346}" name="Puntos clase" dataDxfId="246">
      <calculatedColumnFormula>IF(E41="M",IF(Tabla32[[#This Row],[Tiempo]]="AB","",LOOKUP(Tabla32[[#This Row],[CLAS CLASE]],'Datos puntos'!$A$25:$A$53,'Datos puntos'!$B$25:$B$53)),"")</calculatedColumnFormula>
    </tableColumn>
    <tableColumn id="19" xr3:uid="{149BCD03-B1E4-47B3-864F-D8628C610060}" name="Suma de comprobación" dataDxfId="245">
      <calculatedColumnFormula>IF(Tabla32[[#This Row],[Puntos scratch]]="","NO PUNTÚA",SUM(Tabla32[[#This Row],[Puntos scratch]],Tabla32[[#This Row],[Puntos clase]])*2)</calculatedColumnFormula>
    </tableColumn>
    <tableColumn id="20" xr3:uid="{A9C27609-97A7-4B82-A149-1280BE8F5E23}" name="CLAS SCRATCH2" dataDxfId="244">
      <calculatedColumnFormula>IF(AND(G41="M",Tabla32[[#This Row],[POS]]&lt;&gt;"AB",Tabla32[[#This Row],[POS]]&lt;&gt;"DSQ"),COUNTIF($G$41:G41,"M"),"")</calculatedColumnFormula>
    </tableColumn>
    <tableColumn id="21" xr3:uid="{82DAAD91-3E6C-4AB0-B66D-DE2FB7E54CD9}" name="Puntos scratch3" dataDxfId="243">
      <calculatedColumnFormula>IF(G41="M",IF(Tabla32[[#This Row],[Tiempo]]="AB","",LOOKUP(Tabla32[[#This Row],[CLAS SCRATCH2]],'Datos puntos'!$A$2:$A$23,'Datos puntos'!$B$2:$B$23)),"")</calculatedColumnFormula>
    </tableColumn>
    <tableColumn id="22" xr3:uid="{6D35C342-152A-419F-936A-787DCDDFEF29}" name="CLAS CLASE2" dataDxfId="242">
      <calculatedColumnFormula>Tabla32[[#This Row],[CLAS SCRATCH2]]</calculatedColumnFormula>
    </tableColumn>
    <tableColumn id="23" xr3:uid="{774772EA-6741-4405-8412-B2B51133ED2B}" name="Puntos clase5" dataDxfId="241">
      <calculatedColumnFormula>IF(G41="M",IF(Tabla32[[#This Row],[Tiempo]]="AB","",LOOKUP(Tabla32[[#This Row],[CLAS CLASE2]],'Datos puntos'!$A$25:$A$53,'Datos puntos'!$B$25:$B$53)),"")</calculatedColumnFormula>
    </tableColumn>
    <tableColumn id="24" xr3:uid="{73CDC5F5-7139-4CE5-AE7F-F5DD206374F0}" name="Suma de comprobación6" dataDxfId="240">
      <calculatedColumnFormula>IF(Tabla32[[#This Row],[Puntos scratch3]]="","NO PUNTÚA",SUM(Tabla32[[#This Row],[Puntos scratch3]],Tabla32[[#This Row],[Puntos clase5]])*2)</calculatedColumnFormula>
    </tableColumn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ED10FF5-A9BB-4B41-A0B8-2F909777C2DC}" name="Tabla7" displayName="Tabla7" ref="A49:U55" totalsRowShown="0">
  <autoFilter ref="A49:U55" xr:uid="{FED10FF5-A9BB-4B41-A0B8-2F909777C2DC}"/>
  <tableColumns count="21">
    <tableColumn id="1" xr3:uid="{56BF6FBA-FE11-4E5A-8E0A-B5F574DC24E3}" name="POS" dataDxfId="239" dataCellStyle="Normal 20"/>
    <tableColumn id="2" xr3:uid="{0B130F1E-4131-4CC6-95B5-94C9CE9564EC}" name="Nº" dataDxfId="238" dataCellStyle="Normal 20"/>
    <tableColumn id="3" xr3:uid="{646DAF9F-506C-4228-86BC-E83A625D59D9}" name="Escudería" dataDxfId="237" dataCellStyle="Normal 20"/>
    <tableColumn id="4" xr3:uid="{AEDC9541-4643-4612-B221-FDA311314D04}" name="Piloto" dataDxfId="236" dataCellStyle="Normal 20"/>
    <tableColumn id="5" xr3:uid="{01F50CF4-E804-4B5F-9EC2-F07BA25C870A}" name="Fed" dataDxfId="235" dataCellStyle="Normal 20"/>
    <tableColumn id="6" xr3:uid="{FEBE95BD-F11F-4685-8906-6010340AA2BB}" name="Copiloto" dataDxfId="234" dataCellStyle="Normal 20"/>
    <tableColumn id="7" xr3:uid="{C79F0F23-CD60-429A-B832-996E2BA86B24}" name="Fed2" dataDxfId="233" dataCellStyle="Normal 20"/>
    <tableColumn id="8" xr3:uid="{9D564683-BB8D-4B43-B2C1-6B224024908B}" name="Vehículo" dataDxfId="232" dataCellStyle="Normal 20"/>
    <tableColumn id="9" xr3:uid="{2FFBCE29-13AF-43D0-A104-C88DADA6347B}" name="Grupo" dataDxfId="231" dataCellStyle="Normal 20"/>
    <tableColumn id="10" xr3:uid="{10244CA4-E515-46A9-8FD1-3D082D633FFB}" name="Clase" dataDxfId="230" dataCellStyle="Normal 20"/>
    <tableColumn id="11" xr3:uid="{7DA0D8CD-AB4F-4297-8F3C-9F1A7F145D74}" name="Tiempo" dataDxfId="229" dataCellStyle="Normal 20"/>
    <tableColumn id="15" xr3:uid="{D5AD2279-AC9B-4F48-A704-F5F1B137DE69}" name="CLAS SCRATCH" dataDxfId="228" dataCellStyle="Normal 20">
      <calculatedColumnFormula>IF(AND(E50="M",Tabla7[[#This Row],[POS]]&lt;&gt;"AB",Tabla7[[#This Row],[POS]]&lt;&gt;"DSQ"),COUNTIF($E$50:E50,"M"),"")</calculatedColumnFormula>
    </tableColumn>
    <tableColumn id="16" xr3:uid="{533EEBD5-DCC6-44DF-A88B-42B5A2D1CCEA}" name="Puntos scratch" dataDxfId="227" dataCellStyle="Normal 20">
      <calculatedColumnFormula>IF(E50="M",IF(Tabla7[[#This Row],[Tiempo]]="AB","",LOOKUP(Tabla7[[#This Row],[CLAS SCRATCH]],'Datos puntos'!$A$2:$A$23,'Datos puntos'!$B$2:$B$23)),"")</calculatedColumnFormula>
    </tableColumn>
    <tableColumn id="17" xr3:uid="{CA3D5365-AE68-4DFE-A17A-638C2A27394D}" name="CLAS CLASE" dataDxfId="226" dataCellStyle="Normal 20">
      <calculatedColumnFormula>Tabla7[[#This Row],[CLAS SCRATCH]]</calculatedColumnFormula>
    </tableColumn>
    <tableColumn id="18" xr3:uid="{B5854D0B-8DD3-43E1-946E-642A9180CB2C}" name="Puntos clase" dataDxfId="225" dataCellStyle="Normal 20">
      <calculatedColumnFormula>IF(E50="M",IF(Tabla7[[#This Row],[Tiempo]]="AB","",LOOKUP(Tabla7[[#This Row],[CLAS CLASE]],'Datos puntos'!$A$25:$A$53,'Datos puntos'!$B$25:$B$53)),"")</calculatedColumnFormula>
    </tableColumn>
    <tableColumn id="19" xr3:uid="{3A55E3D6-7157-4388-82C5-2EA35B5F9409}" name="Suma de comprobación" dataDxfId="224" dataCellStyle="Normal 20">
      <calculatedColumnFormula>IF(Tabla7[[#This Row],[Puntos scratch]]="","NO PUNTÚA",SUM(Tabla7[[#This Row],[Puntos scratch]],Tabla7[[#This Row],[Puntos clase]])*2)</calculatedColumnFormula>
    </tableColumn>
    <tableColumn id="20" xr3:uid="{11C7698C-F550-4240-AB30-9DFBA8084E7E}" name="CLAS SCRATCH2" dataDxfId="223" dataCellStyle="Normal 20">
      <calculatedColumnFormula>IF(AND(G50="M",Tabla7[[#This Row],[POS]]&lt;&gt;"AB",Tabla7[[#This Row],[POS]]&lt;&gt;"DSQ"),COUNTIF($G$50:G50,"M"),"")</calculatedColumnFormula>
    </tableColumn>
    <tableColumn id="21" xr3:uid="{16028B38-B35E-4B0F-935F-69B87C76EB0E}" name="Puntos scratch3" dataDxfId="222" dataCellStyle="Normal 20">
      <calculatedColumnFormula>IF(G50="M",IF(Tabla7[[#This Row],[Tiempo]]="AB","",LOOKUP(Tabla7[[#This Row],[CLAS SCRATCH2]],'Datos puntos'!$A$2:$A$23,'Datos puntos'!$B$2:$B$23)),"")</calculatedColumnFormula>
    </tableColumn>
    <tableColumn id="22" xr3:uid="{0BB4C019-B29C-43FF-B1F5-2FA6657F843E}" name="CLAS CLASE2" dataDxfId="221" dataCellStyle="Normal 20">
      <calculatedColumnFormula>Tabla7[[#This Row],[CLAS SCRATCH2]]</calculatedColumnFormula>
    </tableColumn>
    <tableColumn id="23" xr3:uid="{87DE582B-36ED-4C54-BCAE-CB3DB67B16F8}" name="Puntos clase5" dataDxfId="220" dataCellStyle="Normal 20">
      <calculatedColumnFormula>IF(G50="M",IF(Tabla7[[#This Row],[Tiempo]]="AB","",LOOKUP(Tabla7[[#This Row],[CLAS CLASE2]],'Datos puntos'!$A$25:$A$53,'Datos puntos'!$B$25:$B$53)),"")</calculatedColumnFormula>
    </tableColumn>
    <tableColumn id="24" xr3:uid="{D94544DE-03EF-4EA1-9E39-D811E937B64A}" name="Suma de comprobación6" dataDxfId="219" dataCellStyle="Normal 20">
      <calculatedColumnFormula>IF(Tabla7[[#This Row],[Puntos scratch3]]="","NO PUNTÚA",SUM(Tabla7[[#This Row],[Puntos scratch3]],Tabla7[[#This Row],[Puntos clase5]])*2)</calculatedColumnFormula>
    </tableColumn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CBC37F1-62DF-484C-B192-DC95846F7E8D}" name="Tabla23" displayName="Tabla23" ref="A64:N68" totalsRowShown="0" headerRowDxfId="218" dataDxfId="217">
  <autoFilter ref="A64:N68" xr:uid="{0CBC37F1-62DF-484C-B192-DC95846F7E8D}"/>
  <sortState xmlns:xlrd2="http://schemas.microsoft.com/office/spreadsheetml/2017/richdata2" ref="A65:I68">
    <sortCondition ref="I57:I61"/>
  </sortState>
  <tableColumns count="14">
    <tableColumn id="1" xr3:uid="{24A5365D-5A92-40DF-BA20-963F04C01C80}" name="POS" dataDxfId="216" dataCellStyle="Normal 20"/>
    <tableColumn id="2" xr3:uid="{D7E529A3-BDD4-49B9-A331-84C862EDEB4F}" name="Nº" dataDxfId="215"/>
    <tableColumn id="3" xr3:uid="{536CC056-6C00-462A-A5C0-C5808EA906B2}" name="Escudería" dataDxfId="214"/>
    <tableColumn id="4" xr3:uid="{500C48EE-975F-4259-984E-D70C74B7D72D}" name="Tripulante" dataDxfId="213"/>
    <tableColumn id="5" xr3:uid="{3A388799-7C39-4603-B38F-C6979389290F}" name="Fed." dataDxfId="212"/>
    <tableColumn id="8" xr3:uid="{9C603D53-CA69-4F21-B725-0743B17AA1FD}" name="Vehículo" dataDxfId="211"/>
    <tableColumn id="9" xr3:uid="{4E9287F5-BA22-4B2C-ACEF-FEA82BD935F1}" name="Grupo" dataDxfId="210"/>
    <tableColumn id="10" xr3:uid="{3E19999F-E496-4E4C-B60F-BD20942D7A76}" name="Clase" dataDxfId="209"/>
    <tableColumn id="11" xr3:uid="{9D3AAF23-E2BB-4130-AAC4-A8411F2503D7}" name="Tiempo" dataDxfId="208"/>
    <tableColumn id="15" xr3:uid="{D13515E0-3818-4CCF-8C68-9C7EAFA61F1E}" name="CLAS SCRATCH" dataDxfId="207">
      <calculatedColumnFormula>IF(AND(E65="M",Tabla23[[#This Row],[POS]]&lt;&gt;"AB",Tabla23[[#This Row],[POS]]&lt;&gt;"DSQ"),COUNTIF($E$58:E65,"M"),"")</calculatedColumnFormula>
    </tableColumn>
    <tableColumn id="16" xr3:uid="{96C421F0-7DE7-4EF7-93F8-ADC43C2A9BEE}" name="Puntos scratch" dataDxfId="206">
      <calculatedColumnFormula>IF(E65="M",IF(Tabla23[[#This Row],[Tiempo]]="AB","",LOOKUP(Tabla23[[#This Row],[CLAS SCRATCH]],'Datos puntos'!$A$2:$A$23,'Datos puntos'!$B$2:$B$23)),"")</calculatedColumnFormula>
    </tableColumn>
    <tableColumn id="17" xr3:uid="{436CD5AD-2D26-4CB7-BD5F-114D06856359}" name="CLAS CLASE" dataDxfId="205">
      <calculatedColumnFormula>Tabla23[[#This Row],[CLAS SCRATCH]]</calculatedColumnFormula>
    </tableColumn>
    <tableColumn id="18" xr3:uid="{20855A32-19A1-4D79-B30D-0C30A1DF7CAC}" name="Puntos clase" dataDxfId="204">
      <calculatedColumnFormula>IF(E65="M",IF(Tabla23[[#This Row],[Tiempo]]="AB","",LOOKUP(Tabla23[[#This Row],[CLAS CLASE]],'Datos puntos'!$A$25:$A$53,'Datos puntos'!$B$25:$B$53)),"")</calculatedColumnFormula>
    </tableColumn>
    <tableColumn id="19" xr3:uid="{D7483F9E-73A9-43FE-BD4B-8630815ACADE}" name="Suma de comprobación" dataDxfId="203">
      <calculatedColumnFormula>IF(Tabla23[[#This Row],[Puntos scratch]]="","NO PUNTÚA",SUM(Tabla23[[#This Row],[Puntos scratch]],Tabla23[[#This Row],[Puntos clase]])*2)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6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Relationship Id="rId6" Type="http://schemas.openxmlformats.org/officeDocument/2006/relationships/table" Target="../tables/table10.xml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8.bin"/><Relationship Id="rId6" Type="http://schemas.openxmlformats.org/officeDocument/2006/relationships/table" Target="../tables/table15.xml"/><Relationship Id="rId5" Type="http://schemas.openxmlformats.org/officeDocument/2006/relationships/table" Target="../tables/table14.xml"/><Relationship Id="rId4" Type="http://schemas.openxmlformats.org/officeDocument/2006/relationships/table" Target="../tables/table13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9.bin"/><Relationship Id="rId6" Type="http://schemas.openxmlformats.org/officeDocument/2006/relationships/table" Target="../tables/table20.xml"/><Relationship Id="rId5" Type="http://schemas.openxmlformats.org/officeDocument/2006/relationships/table" Target="../tables/table19.xml"/><Relationship Id="rId4" Type="http://schemas.openxmlformats.org/officeDocument/2006/relationships/table" Target="../tables/table18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0.bin"/><Relationship Id="rId6" Type="http://schemas.openxmlformats.org/officeDocument/2006/relationships/table" Target="../tables/table25.xml"/><Relationship Id="rId5" Type="http://schemas.openxmlformats.org/officeDocument/2006/relationships/table" Target="../tables/table24.xml"/><Relationship Id="rId4" Type="http://schemas.openxmlformats.org/officeDocument/2006/relationships/table" Target="../tables/table23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.xml"/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11.bin"/><Relationship Id="rId6" Type="http://schemas.openxmlformats.org/officeDocument/2006/relationships/table" Target="../tables/table30.xml"/><Relationship Id="rId5" Type="http://schemas.openxmlformats.org/officeDocument/2006/relationships/table" Target="../tables/table29.xml"/><Relationship Id="rId4" Type="http://schemas.openxmlformats.org/officeDocument/2006/relationships/table" Target="../tables/table28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45BDA-D2AC-4242-B361-386EB7D69A23}">
  <dimension ref="A2:E59"/>
  <sheetViews>
    <sheetView topLeftCell="A2" workbookViewId="0">
      <selection activeCell="E4" sqref="E4"/>
    </sheetView>
  </sheetViews>
  <sheetFormatPr baseColWidth="10" defaultRowHeight="13" x14ac:dyDescent="0.3"/>
  <cols>
    <col min="2" max="2" width="66.5" style="241" bestFit="1" customWidth="1"/>
    <col min="3" max="3" width="21.5" style="241" bestFit="1" customWidth="1"/>
    <col min="4" max="4" width="38.19921875" style="241" bestFit="1" customWidth="1"/>
  </cols>
  <sheetData>
    <row r="2" spans="2:5" ht="13.5" thickBot="1" x14ac:dyDescent="0.35"/>
    <row r="3" spans="2:5" ht="13.5" thickBot="1" x14ac:dyDescent="0.35">
      <c r="B3" s="367" t="s">
        <v>550</v>
      </c>
      <c r="C3" s="368" t="s">
        <v>482</v>
      </c>
      <c r="D3" s="369" t="s">
        <v>483</v>
      </c>
      <c r="E3" t="s">
        <v>556</v>
      </c>
    </row>
    <row r="4" spans="2:5" ht="13" customHeight="1" x14ac:dyDescent="0.3">
      <c r="B4" s="535" t="s">
        <v>502</v>
      </c>
      <c r="C4" s="370" t="s">
        <v>484</v>
      </c>
      <c r="D4" s="371"/>
    </row>
    <row r="5" spans="2:5" x14ac:dyDescent="0.3">
      <c r="B5" s="536"/>
      <c r="C5" s="372" t="s">
        <v>485</v>
      </c>
      <c r="D5" s="373"/>
    </row>
    <row r="6" spans="2:5" ht="13.5" thickBot="1" x14ac:dyDescent="0.35">
      <c r="B6" s="537"/>
      <c r="C6" s="374" t="s">
        <v>486</v>
      </c>
      <c r="D6" s="375"/>
    </row>
    <row r="7" spans="2:5" x14ac:dyDescent="0.3">
      <c r="B7" s="535" t="s">
        <v>503</v>
      </c>
      <c r="C7" s="370" t="s">
        <v>484</v>
      </c>
      <c r="D7" s="371"/>
    </row>
    <row r="8" spans="2:5" x14ac:dyDescent="0.3">
      <c r="B8" s="536"/>
      <c r="C8" s="372" t="s">
        <v>485</v>
      </c>
      <c r="D8" s="373"/>
    </row>
    <row r="9" spans="2:5" ht="13.5" thickBot="1" x14ac:dyDescent="0.35">
      <c r="B9" s="537"/>
      <c r="C9" s="374" t="s">
        <v>486</v>
      </c>
      <c r="D9" s="375"/>
    </row>
    <row r="10" spans="2:5" ht="13.5" thickBot="1" x14ac:dyDescent="0.35">
      <c r="B10" s="376" t="s">
        <v>487</v>
      </c>
      <c r="C10" s="377" t="s">
        <v>484</v>
      </c>
      <c r="D10" s="378"/>
    </row>
    <row r="11" spans="2:5" ht="13.5" thickBot="1" x14ac:dyDescent="0.35">
      <c r="B11" s="376" t="s">
        <v>488</v>
      </c>
      <c r="C11" s="379" t="s">
        <v>489</v>
      </c>
      <c r="D11" s="380"/>
    </row>
    <row r="12" spans="2:5" ht="13.5" thickBot="1" x14ac:dyDescent="0.35">
      <c r="B12" s="376" t="s">
        <v>490</v>
      </c>
      <c r="C12" s="379" t="s">
        <v>489</v>
      </c>
      <c r="D12" s="381"/>
    </row>
    <row r="13" spans="2:5" x14ac:dyDescent="0.3">
      <c r="B13" s="535" t="s">
        <v>491</v>
      </c>
      <c r="C13" s="370" t="s">
        <v>489</v>
      </c>
      <c r="D13" s="371"/>
    </row>
    <row r="14" spans="2:5" x14ac:dyDescent="0.3">
      <c r="B14" s="536"/>
      <c r="C14" s="382" t="s">
        <v>485</v>
      </c>
      <c r="D14" s="383"/>
    </row>
    <row r="15" spans="2:5" ht="13.5" thickBot="1" x14ac:dyDescent="0.35">
      <c r="B15" s="536"/>
      <c r="C15" s="403" t="s">
        <v>486</v>
      </c>
      <c r="D15" s="404"/>
    </row>
    <row r="16" spans="2:5" x14ac:dyDescent="0.3">
      <c r="B16" s="538" t="s">
        <v>492</v>
      </c>
      <c r="C16" s="370" t="s">
        <v>489</v>
      </c>
      <c r="D16" s="408"/>
    </row>
    <row r="17" spans="2:4" x14ac:dyDescent="0.3">
      <c r="B17" s="539"/>
      <c r="C17" s="382" t="s">
        <v>485</v>
      </c>
      <c r="D17" s="383"/>
    </row>
    <row r="18" spans="2:4" ht="13.5" thickBot="1" x14ac:dyDescent="0.35">
      <c r="B18" s="540"/>
      <c r="C18" s="403" t="s">
        <v>486</v>
      </c>
      <c r="D18" s="404"/>
    </row>
    <row r="19" spans="2:4" x14ac:dyDescent="0.3">
      <c r="B19" s="535" t="s">
        <v>493</v>
      </c>
      <c r="C19" s="370" t="s">
        <v>489</v>
      </c>
      <c r="D19" s="371"/>
    </row>
    <row r="20" spans="2:4" x14ac:dyDescent="0.3">
      <c r="B20" s="536"/>
      <c r="C20" s="382" t="s">
        <v>485</v>
      </c>
      <c r="D20" s="383"/>
    </row>
    <row r="21" spans="2:4" ht="13.5" thickBot="1" x14ac:dyDescent="0.35">
      <c r="B21" s="537"/>
      <c r="C21" s="384" t="s">
        <v>486</v>
      </c>
      <c r="D21" s="450"/>
    </row>
    <row r="22" spans="2:4" x14ac:dyDescent="0.3">
      <c r="B22" s="535" t="s">
        <v>494</v>
      </c>
      <c r="C22" s="370" t="s">
        <v>489</v>
      </c>
      <c r="D22" s="449"/>
    </row>
    <row r="23" spans="2:4" x14ac:dyDescent="0.3">
      <c r="B23" s="536"/>
      <c r="C23" s="382" t="s">
        <v>485</v>
      </c>
      <c r="D23" s="383"/>
    </row>
    <row r="24" spans="2:4" ht="13.5" thickBot="1" x14ac:dyDescent="0.35">
      <c r="B24" s="537"/>
      <c r="C24" s="384" t="s">
        <v>486</v>
      </c>
      <c r="D24" s="450"/>
    </row>
    <row r="25" spans="2:4" x14ac:dyDescent="0.3">
      <c r="B25" s="536" t="s">
        <v>495</v>
      </c>
      <c r="C25" s="406" t="s">
        <v>489</v>
      </c>
      <c r="D25" s="449"/>
    </row>
    <row r="26" spans="2:4" x14ac:dyDescent="0.3">
      <c r="B26" s="536"/>
      <c r="C26" s="382" t="s">
        <v>485</v>
      </c>
      <c r="D26" s="383"/>
    </row>
    <row r="27" spans="2:4" ht="13.5" thickBot="1" x14ac:dyDescent="0.35">
      <c r="B27" s="537"/>
      <c r="C27" s="384" t="s">
        <v>486</v>
      </c>
      <c r="D27" s="450"/>
    </row>
    <row r="28" spans="2:4" x14ac:dyDescent="0.3">
      <c r="B28" s="535" t="s">
        <v>496</v>
      </c>
      <c r="C28" s="406" t="s">
        <v>489</v>
      </c>
      <c r="D28" s="449"/>
    </row>
    <row r="29" spans="2:4" x14ac:dyDescent="0.3">
      <c r="B29" s="536"/>
      <c r="C29" s="382" t="s">
        <v>485</v>
      </c>
      <c r="D29" s="383"/>
    </row>
    <row r="30" spans="2:4" ht="13.5" thickBot="1" x14ac:dyDescent="0.35">
      <c r="B30" s="537"/>
      <c r="C30" s="384" t="s">
        <v>486</v>
      </c>
      <c r="D30" s="450"/>
    </row>
    <row r="31" spans="2:4" x14ac:dyDescent="0.3">
      <c r="B31" s="535" t="s">
        <v>497</v>
      </c>
      <c r="C31" s="406" t="s">
        <v>489</v>
      </c>
      <c r="D31" s="449"/>
    </row>
    <row r="32" spans="2:4" x14ac:dyDescent="0.3">
      <c r="B32" s="536"/>
      <c r="C32" s="382" t="s">
        <v>485</v>
      </c>
      <c r="D32" s="383"/>
    </row>
    <row r="33" spans="2:4" ht="13.5" thickBot="1" x14ac:dyDescent="0.35">
      <c r="B33" s="537"/>
      <c r="C33" s="384" t="s">
        <v>486</v>
      </c>
      <c r="D33" s="450"/>
    </row>
    <row r="34" spans="2:4" ht="13.5" thickBot="1" x14ac:dyDescent="0.35">
      <c r="B34" s="376" t="s">
        <v>501</v>
      </c>
      <c r="C34" s="385" t="s">
        <v>489</v>
      </c>
      <c r="D34" s="380"/>
    </row>
    <row r="35" spans="2:4" ht="13.5" thickBot="1" x14ac:dyDescent="0.35">
      <c r="B35" s="376" t="s">
        <v>548</v>
      </c>
      <c r="C35" s="385" t="s">
        <v>489</v>
      </c>
      <c r="D35" s="380"/>
    </row>
    <row r="36" spans="2:4" x14ac:dyDescent="0.3">
      <c r="B36" s="443" t="s">
        <v>535</v>
      </c>
      <c r="C36" s="440" t="s">
        <v>498</v>
      </c>
      <c r="D36" s="407"/>
    </row>
    <row r="37" spans="2:4" x14ac:dyDescent="0.3">
      <c r="B37" s="443" t="s">
        <v>539</v>
      </c>
      <c r="C37" s="388" t="s">
        <v>498</v>
      </c>
      <c r="D37" s="390"/>
    </row>
    <row r="38" spans="2:4" x14ac:dyDescent="0.3">
      <c r="B38" s="387" t="s">
        <v>540</v>
      </c>
      <c r="C38" s="388" t="s">
        <v>498</v>
      </c>
      <c r="D38" s="390"/>
    </row>
    <row r="39" spans="2:4" x14ac:dyDescent="0.3">
      <c r="B39" s="387" t="s">
        <v>541</v>
      </c>
      <c r="C39" s="388" t="s">
        <v>498</v>
      </c>
      <c r="D39" s="389"/>
    </row>
    <row r="40" spans="2:4" x14ac:dyDescent="0.3">
      <c r="B40" s="387" t="s">
        <v>542</v>
      </c>
      <c r="C40" s="388" t="s">
        <v>498</v>
      </c>
      <c r="D40" s="389"/>
    </row>
    <row r="41" spans="2:4" x14ac:dyDescent="0.3">
      <c r="B41" s="387" t="s">
        <v>543</v>
      </c>
      <c r="C41" s="388" t="s">
        <v>498</v>
      </c>
      <c r="D41" s="389"/>
    </row>
    <row r="42" spans="2:4" x14ac:dyDescent="0.3">
      <c r="B42" s="387" t="s">
        <v>544</v>
      </c>
      <c r="C42" s="388" t="s">
        <v>498</v>
      </c>
      <c r="D42" s="389"/>
    </row>
    <row r="43" spans="2:4" ht="13.5" thickBot="1" x14ac:dyDescent="0.35">
      <c r="B43" s="444" t="s">
        <v>545</v>
      </c>
      <c r="C43" s="439" t="s">
        <v>498</v>
      </c>
      <c r="D43" s="445"/>
    </row>
    <row r="44" spans="2:4" ht="13.5" thickBot="1" x14ac:dyDescent="0.35">
      <c r="B44" s="376" t="s">
        <v>546</v>
      </c>
      <c r="C44" s="412" t="s">
        <v>489</v>
      </c>
      <c r="D44" s="381"/>
    </row>
    <row r="45" spans="2:4" ht="13.5" thickBot="1" x14ac:dyDescent="0.35">
      <c r="B45" s="376" t="s">
        <v>547</v>
      </c>
      <c r="C45" s="412" t="s">
        <v>489</v>
      </c>
      <c r="D45" s="381"/>
    </row>
    <row r="46" spans="2:4" ht="13.5" thickBot="1" x14ac:dyDescent="0.35">
      <c r="B46" s="446" t="s">
        <v>549</v>
      </c>
      <c r="C46" s="448" t="s">
        <v>500</v>
      </c>
      <c r="D46" s="447"/>
    </row>
    <row r="47" spans="2:4" ht="13.5" thickBot="1" x14ac:dyDescent="0.35">
      <c r="B47" s="446" t="s">
        <v>499</v>
      </c>
      <c r="C47" s="448" t="s">
        <v>500</v>
      </c>
      <c r="D47" s="447"/>
    </row>
    <row r="48" spans="2:4" x14ac:dyDescent="0.3">
      <c r="B48" s="535" t="s">
        <v>511</v>
      </c>
      <c r="C48" s="370" t="s">
        <v>489</v>
      </c>
      <c r="D48" s="371"/>
    </row>
    <row r="49" spans="1:4" x14ac:dyDescent="0.3">
      <c r="B49" s="536"/>
      <c r="C49" s="382" t="s">
        <v>485</v>
      </c>
      <c r="D49" s="383"/>
    </row>
    <row r="50" spans="1:4" ht="13.5" thickBot="1" x14ac:dyDescent="0.35">
      <c r="B50" s="536"/>
      <c r="C50" s="403" t="s">
        <v>486</v>
      </c>
      <c r="D50" s="404"/>
    </row>
    <row r="51" spans="1:4" x14ac:dyDescent="0.3">
      <c r="B51" s="535" t="s">
        <v>512</v>
      </c>
      <c r="C51" s="386" t="s">
        <v>489</v>
      </c>
      <c r="D51" s="371"/>
    </row>
    <row r="52" spans="1:4" x14ac:dyDescent="0.3">
      <c r="B52" s="536"/>
      <c r="C52" s="382" t="s">
        <v>485</v>
      </c>
      <c r="D52" s="383"/>
    </row>
    <row r="53" spans="1:4" ht="13.5" thickBot="1" x14ac:dyDescent="0.35">
      <c r="B53" s="537"/>
      <c r="C53" s="384" t="s">
        <v>486</v>
      </c>
      <c r="D53" s="375"/>
    </row>
    <row r="54" spans="1:4" x14ac:dyDescent="0.3">
      <c r="A54" t="s">
        <v>538</v>
      </c>
      <c r="B54" s="532" t="s">
        <v>536</v>
      </c>
      <c r="C54" s="440" t="s">
        <v>489</v>
      </c>
      <c r="D54" s="441"/>
    </row>
    <row r="55" spans="1:4" x14ac:dyDescent="0.3">
      <c r="A55" t="s">
        <v>538</v>
      </c>
      <c r="B55" s="532"/>
      <c r="C55" s="388" t="s">
        <v>485</v>
      </c>
      <c r="D55" s="437"/>
    </row>
    <row r="56" spans="1:4" ht="13.5" thickBot="1" x14ac:dyDescent="0.35">
      <c r="A56" t="s">
        <v>538</v>
      </c>
      <c r="B56" s="532"/>
      <c r="C56" s="439" t="s">
        <v>486</v>
      </c>
      <c r="D56" s="442"/>
    </row>
    <row r="57" spans="1:4" x14ac:dyDescent="0.3">
      <c r="A57" t="s">
        <v>538</v>
      </c>
      <c r="B57" s="533" t="s">
        <v>537</v>
      </c>
      <c r="C57" s="386" t="s">
        <v>489</v>
      </c>
      <c r="D57" s="436"/>
    </row>
    <row r="58" spans="1:4" x14ac:dyDescent="0.3">
      <c r="A58" t="s">
        <v>538</v>
      </c>
      <c r="B58" s="532"/>
      <c r="C58" s="388" t="s">
        <v>485</v>
      </c>
      <c r="D58" s="437"/>
    </row>
    <row r="59" spans="1:4" ht="13.5" thickBot="1" x14ac:dyDescent="0.35">
      <c r="A59" t="s">
        <v>538</v>
      </c>
      <c r="B59" s="534"/>
      <c r="C59" s="391" t="s">
        <v>486</v>
      </c>
      <c r="D59" s="438"/>
    </row>
  </sheetData>
  <mergeCells count="13">
    <mergeCell ref="B4:B6"/>
    <mergeCell ref="B7:B9"/>
    <mergeCell ref="B13:B15"/>
    <mergeCell ref="B19:B21"/>
    <mergeCell ref="B16:B18"/>
    <mergeCell ref="B54:B56"/>
    <mergeCell ref="B57:B59"/>
    <mergeCell ref="B51:B53"/>
    <mergeCell ref="B22:B24"/>
    <mergeCell ref="B28:B30"/>
    <mergeCell ref="B31:B33"/>
    <mergeCell ref="B48:B50"/>
    <mergeCell ref="B25:B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F77C2-9B5F-4850-8025-230CB89969D0}">
  <dimension ref="A1:XFD397"/>
  <sheetViews>
    <sheetView showRuler="0" view="pageBreakPreview" topLeftCell="A7" zoomScaleNormal="100" zoomScaleSheetLayoutView="100" workbookViewId="0">
      <selection activeCell="H325" sqref="H325"/>
    </sheetView>
  </sheetViews>
  <sheetFormatPr baseColWidth="10" defaultColWidth="12" defaultRowHeight="10.5" x14ac:dyDescent="0.3"/>
  <cols>
    <col min="1" max="1" width="4.296875" style="130" customWidth="1"/>
    <col min="2" max="2" width="4" style="130" customWidth="1"/>
    <col min="3" max="3" width="43.796875" style="130" customWidth="1"/>
    <col min="4" max="5" width="5" style="130" customWidth="1"/>
    <col min="6" max="6" width="5.796875" style="130" customWidth="1"/>
    <col min="7" max="7" width="6" style="130" customWidth="1"/>
    <col min="8" max="8" width="5.796875" style="150" customWidth="1"/>
    <col min="9" max="20" width="5.796875" style="130" customWidth="1"/>
    <col min="21" max="21" width="8.69921875" style="130" customWidth="1"/>
    <col min="22" max="22" width="13" style="130" bestFit="1" customWidth="1"/>
    <col min="23" max="23" width="16" style="130" bestFit="1" customWidth="1"/>
    <col min="24" max="24" width="8.69921875" style="130" customWidth="1"/>
    <col min="25" max="25" width="8.69921875" style="261" customWidth="1"/>
    <col min="26" max="26" width="14.5" style="130" customWidth="1"/>
    <col min="27" max="28" width="8.5" style="130" customWidth="1"/>
    <col min="29" max="37" width="8.796875" style="130" customWidth="1"/>
    <col min="38" max="16384" width="12" style="130"/>
  </cols>
  <sheetData>
    <row r="1" spans="2:25" ht="39" customHeight="1" x14ac:dyDescent="0.55000000000000004">
      <c r="B1" s="164" t="s">
        <v>286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</row>
    <row r="2" spans="2:25" ht="37.5" customHeight="1" x14ac:dyDescent="0.3">
      <c r="B2" s="302" t="s">
        <v>465</v>
      </c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0"/>
      <c r="W2" s="30"/>
    </row>
    <row r="3" spans="2:25" ht="12.75" customHeight="1" x14ac:dyDescent="0.3">
      <c r="B3" s="327"/>
      <c r="C3" s="330"/>
      <c r="D3" s="333"/>
      <c r="E3" s="333"/>
      <c r="F3" s="336" t="s">
        <v>220</v>
      </c>
      <c r="G3" s="337"/>
      <c r="H3" s="338"/>
      <c r="I3" s="336" t="s">
        <v>221</v>
      </c>
      <c r="J3" s="342"/>
      <c r="K3" s="343"/>
      <c r="L3" s="336" t="s">
        <v>390</v>
      </c>
      <c r="M3" s="342"/>
      <c r="N3" s="343"/>
      <c r="O3" s="336" t="s">
        <v>287</v>
      </c>
      <c r="P3" s="342"/>
      <c r="Q3" s="343"/>
      <c r="R3" s="336" t="s">
        <v>222</v>
      </c>
      <c r="S3" s="342"/>
      <c r="T3" s="343"/>
      <c r="U3" s="333" t="s">
        <v>213</v>
      </c>
      <c r="V3" s="30"/>
      <c r="W3" s="30"/>
    </row>
    <row r="4" spans="2:25" ht="12.75" customHeight="1" x14ac:dyDescent="0.3">
      <c r="B4" s="328" t="s">
        <v>0</v>
      </c>
      <c r="C4" s="331" t="s">
        <v>1</v>
      </c>
      <c r="D4" s="334" t="s">
        <v>2</v>
      </c>
      <c r="E4" s="334" t="s">
        <v>3</v>
      </c>
      <c r="F4" s="339" t="s">
        <v>288</v>
      </c>
      <c r="G4" s="340"/>
      <c r="H4" s="341"/>
      <c r="I4" s="339" t="s">
        <v>289</v>
      </c>
      <c r="J4" s="344"/>
      <c r="K4" s="345"/>
      <c r="L4" s="339" t="s">
        <v>290</v>
      </c>
      <c r="M4" s="344"/>
      <c r="N4" s="345"/>
      <c r="O4" s="339" t="s">
        <v>291</v>
      </c>
      <c r="P4" s="344"/>
      <c r="Q4" s="345"/>
      <c r="R4" s="339" t="s">
        <v>292</v>
      </c>
      <c r="S4" s="344"/>
      <c r="T4" s="345"/>
      <c r="U4" s="334" t="s">
        <v>9</v>
      </c>
      <c r="V4" s="519" t="s">
        <v>223</v>
      </c>
      <c r="W4" s="521" t="s">
        <v>4</v>
      </c>
    </row>
    <row r="5" spans="2:25" ht="12.75" customHeight="1" x14ac:dyDescent="0.3">
      <c r="B5" s="329"/>
      <c r="C5" s="332"/>
      <c r="D5" s="335"/>
      <c r="E5" s="335"/>
      <c r="F5" s="325" t="s">
        <v>33</v>
      </c>
      <c r="G5" s="325" t="s">
        <v>34</v>
      </c>
      <c r="H5" s="326" t="s">
        <v>35</v>
      </c>
      <c r="I5" s="325" t="s">
        <v>33</v>
      </c>
      <c r="J5" s="325" t="s">
        <v>34</v>
      </c>
      <c r="K5" s="326" t="s">
        <v>35</v>
      </c>
      <c r="L5" s="325" t="s">
        <v>33</v>
      </c>
      <c r="M5" s="325" t="s">
        <v>34</v>
      </c>
      <c r="N5" s="326" t="s">
        <v>35</v>
      </c>
      <c r="O5" s="325" t="s">
        <v>33</v>
      </c>
      <c r="P5" s="325" t="s">
        <v>34</v>
      </c>
      <c r="Q5" s="326" t="s">
        <v>35</v>
      </c>
      <c r="R5" s="325" t="s">
        <v>33</v>
      </c>
      <c r="S5" s="325" t="s">
        <v>34</v>
      </c>
      <c r="T5" s="326" t="s">
        <v>35</v>
      </c>
      <c r="U5" s="335"/>
      <c r="V5" s="520"/>
      <c r="W5" s="522"/>
    </row>
    <row r="6" spans="2:25" ht="12.75" customHeight="1" x14ac:dyDescent="0.3">
      <c r="B6" s="304">
        <v>1</v>
      </c>
      <c r="C6" s="305" t="s">
        <v>285</v>
      </c>
      <c r="D6" s="306" t="s">
        <v>359</v>
      </c>
      <c r="E6" s="306" t="s">
        <v>513</v>
      </c>
      <c r="F6" s="307">
        <v>17</v>
      </c>
      <c r="G6" s="307">
        <v>9</v>
      </c>
      <c r="H6" s="308">
        <v>52</v>
      </c>
      <c r="I6" s="307">
        <v>20</v>
      </c>
      <c r="J6" s="307">
        <v>12</v>
      </c>
      <c r="K6" s="308">
        <v>64</v>
      </c>
      <c r="L6" s="307">
        <v>20</v>
      </c>
      <c r="M6" s="307">
        <v>12</v>
      </c>
      <c r="N6" s="308">
        <v>96</v>
      </c>
      <c r="O6" s="307">
        <v>17</v>
      </c>
      <c r="P6" s="307">
        <v>9</v>
      </c>
      <c r="Q6" s="308">
        <v>52</v>
      </c>
      <c r="R6" s="307">
        <v>8</v>
      </c>
      <c r="S6" s="307">
        <v>12</v>
      </c>
      <c r="T6" s="308">
        <v>20</v>
      </c>
      <c r="U6" s="309">
        <v>284</v>
      </c>
      <c r="V6" s="140" t="str">
        <f>IF(W6&gt;=3,"Sí","No")</f>
        <v>Sí</v>
      </c>
      <c r="W6" s="141">
        <f>COUNTA(H6,K6,N6,Q6,T6)</f>
        <v>5</v>
      </c>
      <c r="Y6" s="261" t="str">
        <f>IFERROR(VLOOKUP(C6,Tabla15[[Piloto]:[Puntos clase]],6, FALSE), " ")</f>
        <v xml:space="preserve"> </v>
      </c>
    </row>
    <row r="7" spans="2:25" ht="12.75" customHeight="1" x14ac:dyDescent="0.3">
      <c r="B7" s="304">
        <v>2</v>
      </c>
      <c r="C7" s="310" t="s">
        <v>295</v>
      </c>
      <c r="D7" s="306">
        <v>2</v>
      </c>
      <c r="E7" s="306" t="s">
        <v>514</v>
      </c>
      <c r="F7" s="307">
        <v>12</v>
      </c>
      <c r="G7" s="307">
        <v>12</v>
      </c>
      <c r="H7" s="308">
        <v>48</v>
      </c>
      <c r="I7" s="307">
        <v>14</v>
      </c>
      <c r="J7" s="307">
        <v>12</v>
      </c>
      <c r="K7" s="308">
        <v>52</v>
      </c>
      <c r="L7" s="307">
        <v>10</v>
      </c>
      <c r="M7" s="307">
        <v>12</v>
      </c>
      <c r="N7" s="308">
        <v>66</v>
      </c>
      <c r="O7" s="307">
        <v>8</v>
      </c>
      <c r="P7" s="307">
        <v>9</v>
      </c>
      <c r="Q7" s="308">
        <v>34</v>
      </c>
      <c r="R7" s="307">
        <v>14</v>
      </c>
      <c r="S7" s="307">
        <v>12</v>
      </c>
      <c r="T7" s="308">
        <v>26</v>
      </c>
      <c r="U7" s="309">
        <v>226</v>
      </c>
      <c r="V7" s="140" t="str">
        <f t="shared" ref="V7:V26" si="0">IF(W7&gt;=3,"Sí","No")</f>
        <v>Sí</v>
      </c>
      <c r="W7" s="141">
        <f t="shared" ref="W7:W26" si="1">COUNTA(H7,K7,N7,Q7,T7)</f>
        <v>5</v>
      </c>
      <c r="Y7" s="261" t="str">
        <f>IFERROR(VLOOKUP(C7,Tabla15[[Piloto]:[Puntos clase]],6, FALSE), " ")</f>
        <v xml:space="preserve"> </v>
      </c>
    </row>
    <row r="8" spans="2:25" ht="12.75" customHeight="1" x14ac:dyDescent="0.3">
      <c r="B8" s="304">
        <v>3</v>
      </c>
      <c r="C8" s="305" t="s">
        <v>225</v>
      </c>
      <c r="D8" s="306">
        <v>1</v>
      </c>
      <c r="E8" s="306" t="s">
        <v>513</v>
      </c>
      <c r="F8" s="307">
        <v>20</v>
      </c>
      <c r="G8" s="307">
        <v>12</v>
      </c>
      <c r="H8" s="308">
        <v>64</v>
      </c>
      <c r="I8" s="307">
        <v>17</v>
      </c>
      <c r="J8" s="307">
        <v>9</v>
      </c>
      <c r="K8" s="308">
        <v>52</v>
      </c>
      <c r="L8" s="307">
        <v>17</v>
      </c>
      <c r="M8" s="307">
        <v>9</v>
      </c>
      <c r="N8" s="308">
        <v>78</v>
      </c>
      <c r="O8" s="307">
        <v>0</v>
      </c>
      <c r="P8" s="307">
        <v>0</v>
      </c>
      <c r="Q8" s="308">
        <v>0</v>
      </c>
      <c r="R8" s="307">
        <v>17</v>
      </c>
      <c r="S8" s="307">
        <v>9</v>
      </c>
      <c r="T8" s="308">
        <v>26</v>
      </c>
      <c r="U8" s="309">
        <v>220</v>
      </c>
      <c r="V8" s="140" t="str">
        <f t="shared" si="0"/>
        <v>Sí</v>
      </c>
      <c r="W8" s="141">
        <f t="shared" si="1"/>
        <v>5</v>
      </c>
      <c r="Y8" s="261" t="str">
        <f>IFERROR(VLOOKUP(C8,Tabla15[[Piloto]:[Puntos clase]],6, FALSE), " ")</f>
        <v xml:space="preserve"> </v>
      </c>
    </row>
    <row r="9" spans="2:25" ht="12.75" customHeight="1" x14ac:dyDescent="0.3">
      <c r="B9" s="304">
        <v>4</v>
      </c>
      <c r="C9" s="305" t="s">
        <v>364</v>
      </c>
      <c r="D9" s="306">
        <v>1</v>
      </c>
      <c r="E9" s="306">
        <v>4</v>
      </c>
      <c r="F9" s="307"/>
      <c r="G9" s="307"/>
      <c r="H9" s="308"/>
      <c r="I9" s="307"/>
      <c r="J9" s="307"/>
      <c r="K9" s="308"/>
      <c r="L9" s="307">
        <v>14</v>
      </c>
      <c r="M9" s="307">
        <v>7</v>
      </c>
      <c r="N9" s="308">
        <v>63</v>
      </c>
      <c r="O9" s="307">
        <v>20</v>
      </c>
      <c r="P9" s="307">
        <v>12</v>
      </c>
      <c r="Q9" s="308">
        <v>64</v>
      </c>
      <c r="R9" s="307">
        <v>20</v>
      </c>
      <c r="S9" s="307">
        <v>12</v>
      </c>
      <c r="T9" s="308">
        <v>32</v>
      </c>
      <c r="U9" s="309">
        <v>159</v>
      </c>
      <c r="V9" s="140" t="str">
        <f t="shared" si="0"/>
        <v>Sí</v>
      </c>
      <c r="W9" s="141">
        <f t="shared" si="1"/>
        <v>3</v>
      </c>
      <c r="Y9" s="261" t="str">
        <f>IFERROR(VLOOKUP(C9,Tabla15[[Piloto]:[Puntos clase]],6, FALSE), " ")</f>
        <v xml:space="preserve"> </v>
      </c>
    </row>
    <row r="10" spans="2:25" ht="12.75" customHeight="1" x14ac:dyDescent="0.3">
      <c r="B10" s="304">
        <v>5</v>
      </c>
      <c r="C10" s="310" t="s">
        <v>226</v>
      </c>
      <c r="D10" s="306">
        <v>2</v>
      </c>
      <c r="E10" s="306" t="s">
        <v>514</v>
      </c>
      <c r="F10" s="307">
        <v>0</v>
      </c>
      <c r="G10" s="307">
        <v>0</v>
      </c>
      <c r="H10" s="308">
        <v>0</v>
      </c>
      <c r="I10" s="307">
        <v>12</v>
      </c>
      <c r="J10" s="307">
        <v>9</v>
      </c>
      <c r="K10" s="308">
        <v>42</v>
      </c>
      <c r="L10" s="307">
        <v>8</v>
      </c>
      <c r="M10" s="307">
        <v>9</v>
      </c>
      <c r="N10" s="308">
        <v>51</v>
      </c>
      <c r="O10" s="307">
        <v>10</v>
      </c>
      <c r="P10" s="307">
        <v>12</v>
      </c>
      <c r="Q10" s="308">
        <v>44</v>
      </c>
      <c r="R10" s="307">
        <v>12</v>
      </c>
      <c r="S10" s="307">
        <v>9</v>
      </c>
      <c r="T10" s="308">
        <v>21</v>
      </c>
      <c r="U10" s="309">
        <v>158</v>
      </c>
      <c r="V10" s="140" t="str">
        <f t="shared" si="0"/>
        <v>Sí</v>
      </c>
      <c r="W10" s="141">
        <f t="shared" si="1"/>
        <v>5</v>
      </c>
      <c r="Y10" s="261" t="str">
        <f>IFERROR(VLOOKUP(C10,Tabla15[[Piloto]:[Puntos clase]],6, FALSE), " ")</f>
        <v xml:space="preserve"> </v>
      </c>
    </row>
    <row r="11" spans="2:25" ht="12.75" customHeight="1" x14ac:dyDescent="0.3">
      <c r="B11" s="304">
        <v>6</v>
      </c>
      <c r="C11" s="310" t="s">
        <v>368</v>
      </c>
      <c r="D11" s="306">
        <v>3</v>
      </c>
      <c r="E11" s="306" t="s">
        <v>514</v>
      </c>
      <c r="F11" s="307">
        <v>6</v>
      </c>
      <c r="G11" s="307">
        <v>12</v>
      </c>
      <c r="H11" s="308">
        <v>36</v>
      </c>
      <c r="I11" s="307">
        <v>10</v>
      </c>
      <c r="J11" s="307">
        <v>12</v>
      </c>
      <c r="K11" s="308">
        <v>44</v>
      </c>
      <c r="L11" s="307">
        <v>0</v>
      </c>
      <c r="M11" s="307">
        <v>3</v>
      </c>
      <c r="N11" s="308">
        <v>9</v>
      </c>
      <c r="O11" s="307">
        <v>4</v>
      </c>
      <c r="P11" s="307">
        <v>12</v>
      </c>
      <c r="Q11" s="308">
        <v>32</v>
      </c>
      <c r="R11" s="307">
        <v>6</v>
      </c>
      <c r="S11" s="307">
        <v>9</v>
      </c>
      <c r="T11" s="308">
        <v>15</v>
      </c>
      <c r="U11" s="309">
        <v>136</v>
      </c>
      <c r="V11" s="140" t="str">
        <f t="shared" si="0"/>
        <v>Sí</v>
      </c>
      <c r="W11" s="141">
        <f t="shared" si="1"/>
        <v>5</v>
      </c>
      <c r="Y11" s="261" t="str">
        <f>IFERROR(VLOOKUP(C11,Tabla15[[Piloto]:[Puntos clase]],6, FALSE), " ")</f>
        <v>2RM</v>
      </c>
    </row>
    <row r="12" spans="2:25" ht="12.75" customHeight="1" x14ac:dyDescent="0.3">
      <c r="B12" s="304">
        <v>7</v>
      </c>
      <c r="C12" s="305" t="s">
        <v>212</v>
      </c>
      <c r="D12" s="306" t="s">
        <v>359</v>
      </c>
      <c r="E12" s="306" t="s">
        <v>514</v>
      </c>
      <c r="F12" s="307">
        <v>5</v>
      </c>
      <c r="G12" s="307">
        <v>12</v>
      </c>
      <c r="H12" s="308">
        <v>34</v>
      </c>
      <c r="I12" s="307">
        <v>8</v>
      </c>
      <c r="J12" s="307">
        <v>9</v>
      </c>
      <c r="K12" s="308">
        <v>34</v>
      </c>
      <c r="L12" s="307">
        <v>6</v>
      </c>
      <c r="M12" s="307">
        <v>12</v>
      </c>
      <c r="N12" s="308">
        <v>54</v>
      </c>
      <c r="O12" s="307">
        <v>0</v>
      </c>
      <c r="P12" s="307">
        <v>0</v>
      </c>
      <c r="Q12" s="308">
        <v>0</v>
      </c>
      <c r="R12" s="307">
        <v>5</v>
      </c>
      <c r="S12" s="307">
        <v>7</v>
      </c>
      <c r="T12" s="308">
        <v>12</v>
      </c>
      <c r="U12" s="309">
        <v>134</v>
      </c>
      <c r="V12" s="140" t="str">
        <f t="shared" si="0"/>
        <v>Sí</v>
      </c>
      <c r="W12" s="141">
        <f t="shared" si="1"/>
        <v>5</v>
      </c>
      <c r="Y12" s="261" t="str">
        <f>IFERROR(VLOOKUP(C12,Tabla15[[Piloto]:[Puntos clase]],6, FALSE), " ")</f>
        <v xml:space="preserve"> </v>
      </c>
    </row>
    <row r="13" spans="2:25" ht="12.75" customHeight="1" x14ac:dyDescent="0.3">
      <c r="B13" s="304">
        <v>8</v>
      </c>
      <c r="C13" s="305" t="s">
        <v>356</v>
      </c>
      <c r="D13" s="306">
        <v>5</v>
      </c>
      <c r="E13" s="306" t="s">
        <v>513</v>
      </c>
      <c r="F13" s="307">
        <v>3</v>
      </c>
      <c r="G13" s="307">
        <v>9</v>
      </c>
      <c r="H13" s="308">
        <v>24</v>
      </c>
      <c r="I13" s="307">
        <v>0</v>
      </c>
      <c r="J13" s="307">
        <v>9</v>
      </c>
      <c r="K13" s="308">
        <v>18</v>
      </c>
      <c r="L13" s="307">
        <v>4</v>
      </c>
      <c r="M13" s="307">
        <v>12</v>
      </c>
      <c r="N13" s="308">
        <v>48</v>
      </c>
      <c r="O13" s="307">
        <v>1</v>
      </c>
      <c r="P13" s="307">
        <v>12</v>
      </c>
      <c r="Q13" s="308">
        <v>26</v>
      </c>
      <c r="R13" s="307" t="s">
        <v>515</v>
      </c>
      <c r="S13" s="307" t="s">
        <v>515</v>
      </c>
      <c r="T13" s="308"/>
      <c r="U13" s="309">
        <v>116</v>
      </c>
      <c r="V13" s="140" t="str">
        <f t="shared" si="0"/>
        <v>Sí</v>
      </c>
      <c r="W13" s="141">
        <f t="shared" si="1"/>
        <v>4</v>
      </c>
      <c r="Y13" s="261" t="str">
        <f>IFERROR(VLOOKUP(C13,Tabla15[[Piloto]:[Puntos clase]],6, FALSE), " ")</f>
        <v xml:space="preserve"> </v>
      </c>
    </row>
    <row r="14" spans="2:25" ht="12.75" customHeight="1" x14ac:dyDescent="0.3">
      <c r="B14" s="304">
        <v>9</v>
      </c>
      <c r="C14" s="305" t="s">
        <v>305</v>
      </c>
      <c r="D14" s="306">
        <v>5</v>
      </c>
      <c r="E14" s="306" t="s">
        <v>514</v>
      </c>
      <c r="F14" s="307">
        <v>0</v>
      </c>
      <c r="G14" s="307">
        <v>5</v>
      </c>
      <c r="H14" s="308">
        <v>10</v>
      </c>
      <c r="I14" s="307">
        <v>4</v>
      </c>
      <c r="J14" s="307">
        <v>12</v>
      </c>
      <c r="K14" s="308">
        <v>32</v>
      </c>
      <c r="L14" s="307">
        <v>3</v>
      </c>
      <c r="M14" s="307">
        <v>9</v>
      </c>
      <c r="N14" s="308">
        <v>36</v>
      </c>
      <c r="O14" s="307">
        <v>0</v>
      </c>
      <c r="P14" s="307">
        <v>7</v>
      </c>
      <c r="Q14" s="308">
        <v>14</v>
      </c>
      <c r="R14" s="307" t="s">
        <v>515</v>
      </c>
      <c r="S14" s="307" t="s">
        <v>515</v>
      </c>
      <c r="T14" s="308"/>
      <c r="U14" s="309">
        <v>92</v>
      </c>
      <c r="V14" s="140" t="str">
        <f t="shared" si="0"/>
        <v>Sí</v>
      </c>
      <c r="W14" s="141">
        <f t="shared" si="1"/>
        <v>4</v>
      </c>
      <c r="Y14" s="261" t="str">
        <f>IFERROR(VLOOKUP(C14,Tabla15[[Piloto]:[Puntos clase]],6, FALSE), " ")</f>
        <v xml:space="preserve"> </v>
      </c>
    </row>
    <row r="15" spans="2:25" ht="12.75" customHeight="1" x14ac:dyDescent="0.3">
      <c r="B15" s="304">
        <v>10</v>
      </c>
      <c r="C15" s="305" t="s">
        <v>278</v>
      </c>
      <c r="D15" s="306">
        <v>3</v>
      </c>
      <c r="E15" s="306" t="s">
        <v>514</v>
      </c>
      <c r="F15" s="307">
        <v>0</v>
      </c>
      <c r="G15" s="307">
        <v>7</v>
      </c>
      <c r="H15" s="308">
        <v>14</v>
      </c>
      <c r="I15" s="307">
        <v>6</v>
      </c>
      <c r="J15" s="307">
        <v>7</v>
      </c>
      <c r="K15" s="308">
        <v>26</v>
      </c>
      <c r="L15" s="307">
        <v>5</v>
      </c>
      <c r="M15" s="307">
        <v>9</v>
      </c>
      <c r="N15" s="308">
        <v>42</v>
      </c>
      <c r="O15" s="307" t="s">
        <v>515</v>
      </c>
      <c r="P15" s="307" t="s">
        <v>515</v>
      </c>
      <c r="Q15" s="308"/>
      <c r="R15" s="307" t="s">
        <v>515</v>
      </c>
      <c r="S15" s="307" t="s">
        <v>515</v>
      </c>
      <c r="T15" s="308"/>
      <c r="U15" s="309">
        <v>82</v>
      </c>
      <c r="V15" s="140" t="str">
        <f t="shared" si="0"/>
        <v>Sí</v>
      </c>
      <c r="W15" s="141">
        <f t="shared" si="1"/>
        <v>3</v>
      </c>
      <c r="Y15" s="261" t="str">
        <f>IFERROR(VLOOKUP(C15,Tabla15[[Piloto]:[Puntos clase]],6, FALSE), " ")</f>
        <v xml:space="preserve"> </v>
      </c>
    </row>
    <row r="16" spans="2:25" ht="12.75" customHeight="1" x14ac:dyDescent="0.3">
      <c r="B16" s="304">
        <v>11</v>
      </c>
      <c r="C16" s="305" t="s">
        <v>249</v>
      </c>
      <c r="D16" s="306">
        <v>2</v>
      </c>
      <c r="E16" s="306" t="s">
        <v>514</v>
      </c>
      <c r="F16" s="307">
        <v>10</v>
      </c>
      <c r="G16" s="307">
        <v>9</v>
      </c>
      <c r="H16" s="308">
        <v>38</v>
      </c>
      <c r="I16" s="307">
        <v>0</v>
      </c>
      <c r="J16" s="307">
        <v>0</v>
      </c>
      <c r="K16" s="308">
        <v>0</v>
      </c>
      <c r="L16" s="307" t="s">
        <v>515</v>
      </c>
      <c r="M16" s="307" t="s">
        <v>515</v>
      </c>
      <c r="N16" s="308"/>
      <c r="O16" s="307">
        <v>6</v>
      </c>
      <c r="P16" s="307">
        <v>7</v>
      </c>
      <c r="Q16" s="308">
        <v>26</v>
      </c>
      <c r="R16" s="307">
        <v>10</v>
      </c>
      <c r="S16" s="307">
        <v>7</v>
      </c>
      <c r="T16" s="308">
        <v>17</v>
      </c>
      <c r="U16" s="309">
        <v>81</v>
      </c>
      <c r="V16" s="140" t="str">
        <f t="shared" si="0"/>
        <v>Sí</v>
      </c>
      <c r="W16" s="141">
        <f t="shared" si="1"/>
        <v>4</v>
      </c>
      <c r="Y16" s="261" t="str">
        <f>IFERROR(VLOOKUP(C16,Tabla15[[Piloto]:[Puntos clase]],6, FALSE), " ")</f>
        <v xml:space="preserve"> </v>
      </c>
    </row>
    <row r="17" spans="2:26" ht="12.75" customHeight="1" x14ac:dyDescent="0.3">
      <c r="B17" s="304">
        <v>12</v>
      </c>
      <c r="C17" s="305" t="s">
        <v>241</v>
      </c>
      <c r="D17" s="306">
        <v>5</v>
      </c>
      <c r="E17" s="306" t="s">
        <v>514</v>
      </c>
      <c r="F17" s="307">
        <v>8</v>
      </c>
      <c r="G17" s="307">
        <v>12</v>
      </c>
      <c r="H17" s="308">
        <v>40</v>
      </c>
      <c r="I17" s="307">
        <v>0</v>
      </c>
      <c r="J17" s="307">
        <v>0</v>
      </c>
      <c r="K17" s="308">
        <v>0</v>
      </c>
      <c r="L17" s="307">
        <v>0</v>
      </c>
      <c r="M17" s="307">
        <v>0</v>
      </c>
      <c r="N17" s="308">
        <v>0</v>
      </c>
      <c r="O17" s="307">
        <v>0</v>
      </c>
      <c r="P17" s="307">
        <v>9</v>
      </c>
      <c r="Q17" s="308">
        <v>18</v>
      </c>
      <c r="R17" s="307">
        <v>3</v>
      </c>
      <c r="S17" s="307">
        <v>12</v>
      </c>
      <c r="T17" s="308">
        <v>15</v>
      </c>
      <c r="U17" s="309">
        <v>73</v>
      </c>
      <c r="V17" s="140" t="str">
        <f t="shared" si="0"/>
        <v>Sí</v>
      </c>
      <c r="W17" s="141">
        <f t="shared" si="1"/>
        <v>5</v>
      </c>
      <c r="Y17" s="261" t="str">
        <f>IFERROR(VLOOKUP(C17,Tabla15[[Piloto]:[Puntos clase]],6, FALSE), " ")</f>
        <v xml:space="preserve"> </v>
      </c>
    </row>
    <row r="18" spans="2:26" ht="12.75" customHeight="1" x14ac:dyDescent="0.3">
      <c r="B18" s="304">
        <v>13</v>
      </c>
      <c r="C18" s="305" t="s">
        <v>242</v>
      </c>
      <c r="D18" s="306" t="s">
        <v>359</v>
      </c>
      <c r="E18" s="306" t="s">
        <v>514</v>
      </c>
      <c r="F18" s="307">
        <v>2</v>
      </c>
      <c r="G18" s="307">
        <v>7</v>
      </c>
      <c r="H18" s="308">
        <v>18</v>
      </c>
      <c r="I18" s="307">
        <v>3</v>
      </c>
      <c r="J18" s="307">
        <v>5</v>
      </c>
      <c r="K18" s="308">
        <v>16</v>
      </c>
      <c r="L18" s="307">
        <v>1</v>
      </c>
      <c r="M18" s="307">
        <v>5</v>
      </c>
      <c r="N18" s="308">
        <v>18</v>
      </c>
      <c r="O18" s="307" t="s">
        <v>515</v>
      </c>
      <c r="P18" s="307" t="s">
        <v>515</v>
      </c>
      <c r="Q18" s="308"/>
      <c r="R18" s="307">
        <v>2</v>
      </c>
      <c r="S18" s="307">
        <v>3</v>
      </c>
      <c r="T18" s="308">
        <v>5</v>
      </c>
      <c r="U18" s="309">
        <v>57</v>
      </c>
      <c r="V18" s="140" t="str">
        <f t="shared" si="0"/>
        <v>Sí</v>
      </c>
      <c r="W18" s="141">
        <f t="shared" si="1"/>
        <v>4</v>
      </c>
      <c r="Y18" s="261" t="str">
        <f>IFERROR(VLOOKUP(C18,Tabla15[[Piloto]:[Puntos clase]],6, FALSE), " ")</f>
        <v xml:space="preserve"> </v>
      </c>
    </row>
    <row r="19" spans="2:26" ht="12.75" customHeight="1" x14ac:dyDescent="0.3">
      <c r="B19" s="304">
        <v>14</v>
      </c>
      <c r="C19" s="305" t="s">
        <v>246</v>
      </c>
      <c r="D19" s="306" t="s">
        <v>359</v>
      </c>
      <c r="E19" s="306" t="s">
        <v>514</v>
      </c>
      <c r="F19" s="307">
        <v>1</v>
      </c>
      <c r="G19" s="307">
        <v>7</v>
      </c>
      <c r="H19" s="308">
        <v>16</v>
      </c>
      <c r="I19" s="307">
        <v>0</v>
      </c>
      <c r="J19" s="307">
        <v>7</v>
      </c>
      <c r="K19" s="308">
        <v>14</v>
      </c>
      <c r="L19" s="307">
        <v>0</v>
      </c>
      <c r="M19" s="307">
        <v>7</v>
      </c>
      <c r="N19" s="308">
        <v>21</v>
      </c>
      <c r="O19" s="307" t="s">
        <v>515</v>
      </c>
      <c r="P19" s="307" t="s">
        <v>515</v>
      </c>
      <c r="Q19" s="308"/>
      <c r="R19" s="307" t="s">
        <v>515</v>
      </c>
      <c r="S19" s="307" t="s">
        <v>515</v>
      </c>
      <c r="T19" s="308"/>
      <c r="U19" s="309">
        <v>51</v>
      </c>
      <c r="V19" s="140" t="str">
        <f t="shared" si="0"/>
        <v>Sí</v>
      </c>
      <c r="W19" s="141">
        <f t="shared" si="1"/>
        <v>3</v>
      </c>
      <c r="Y19" s="261" t="str">
        <f>IFERROR(VLOOKUP(C19,Tabla15[[Piloto]:[Puntos clase]],6, FALSE), " ")</f>
        <v xml:space="preserve"> </v>
      </c>
    </row>
    <row r="20" spans="2:26" ht="12.75" customHeight="1" x14ac:dyDescent="0.3">
      <c r="B20" s="304">
        <v>16</v>
      </c>
      <c r="C20" s="305" t="s">
        <v>283</v>
      </c>
      <c r="D20" s="306">
        <v>4</v>
      </c>
      <c r="E20" s="306" t="s">
        <v>514</v>
      </c>
      <c r="F20" s="307">
        <v>0</v>
      </c>
      <c r="G20" s="307">
        <v>0</v>
      </c>
      <c r="H20" s="308">
        <v>0</v>
      </c>
      <c r="I20" s="307">
        <v>5</v>
      </c>
      <c r="J20" s="311">
        <v>6</v>
      </c>
      <c r="K20" s="308">
        <v>22</v>
      </c>
      <c r="L20" s="307" t="s">
        <v>515</v>
      </c>
      <c r="M20" s="307" t="s">
        <v>515</v>
      </c>
      <c r="N20" s="308"/>
      <c r="O20" s="307">
        <v>3</v>
      </c>
      <c r="P20" s="311">
        <v>6</v>
      </c>
      <c r="Q20" s="308">
        <v>18</v>
      </c>
      <c r="R20" s="307">
        <v>1</v>
      </c>
      <c r="S20" s="311">
        <v>6</v>
      </c>
      <c r="T20" s="308">
        <v>7</v>
      </c>
      <c r="U20" s="309">
        <v>47</v>
      </c>
      <c r="V20" s="140" t="str">
        <f t="shared" si="0"/>
        <v>Sí</v>
      </c>
      <c r="W20" s="141">
        <f t="shared" si="1"/>
        <v>4</v>
      </c>
      <c r="Y20" s="261" t="str">
        <f>IFERROR(VLOOKUP(C20,Tabla15[[Piloto]:[Puntos clase]],6, FALSE), " ")</f>
        <v>2RM</v>
      </c>
    </row>
    <row r="21" spans="2:26" ht="12.75" customHeight="1" x14ac:dyDescent="0.3">
      <c r="B21" s="304">
        <v>17</v>
      </c>
      <c r="C21" s="305" t="s">
        <v>238</v>
      </c>
      <c r="D21" s="306">
        <v>1</v>
      </c>
      <c r="E21" s="306" t="s">
        <v>513</v>
      </c>
      <c r="F21" s="307">
        <v>0</v>
      </c>
      <c r="G21" s="307">
        <v>0</v>
      </c>
      <c r="H21" s="308">
        <v>0</v>
      </c>
      <c r="I21" s="307">
        <v>0</v>
      </c>
      <c r="J21" s="307">
        <v>0</v>
      </c>
      <c r="K21" s="308">
        <v>0</v>
      </c>
      <c r="L21" s="307">
        <v>0</v>
      </c>
      <c r="M21" s="307">
        <v>0</v>
      </c>
      <c r="N21" s="308">
        <v>0</v>
      </c>
      <c r="O21" s="307">
        <v>14</v>
      </c>
      <c r="P21" s="307">
        <v>7</v>
      </c>
      <c r="Q21" s="308">
        <v>42</v>
      </c>
      <c r="R21" s="307">
        <v>0</v>
      </c>
      <c r="S21" s="307">
        <v>0</v>
      </c>
      <c r="T21" s="308">
        <v>0</v>
      </c>
      <c r="U21" s="309">
        <v>42</v>
      </c>
      <c r="V21" s="140" t="str">
        <f t="shared" si="0"/>
        <v>Sí</v>
      </c>
      <c r="W21" s="141">
        <f t="shared" si="1"/>
        <v>5</v>
      </c>
      <c r="Y21" s="261" t="str">
        <f>IFERROR(VLOOKUP(C21,Tabla15[[Piloto]:[Puntos clase]],6, FALSE), " ")</f>
        <v xml:space="preserve"> </v>
      </c>
    </row>
    <row r="22" spans="2:26" ht="12.75" customHeight="1" x14ac:dyDescent="0.3">
      <c r="B22" s="304">
        <v>19</v>
      </c>
      <c r="C22" s="305" t="s">
        <v>310</v>
      </c>
      <c r="D22" s="306">
        <v>4</v>
      </c>
      <c r="E22" s="306" t="s">
        <v>514</v>
      </c>
      <c r="F22" s="307">
        <v>0</v>
      </c>
      <c r="G22" s="307">
        <v>9</v>
      </c>
      <c r="H22" s="308">
        <v>18</v>
      </c>
      <c r="I22" s="307">
        <v>2</v>
      </c>
      <c r="J22" s="311">
        <v>4.5</v>
      </c>
      <c r="K22" s="308">
        <v>13</v>
      </c>
      <c r="L22" s="307" t="s">
        <v>515</v>
      </c>
      <c r="M22" s="307" t="s">
        <v>515</v>
      </c>
      <c r="N22" s="308"/>
      <c r="O22" s="307">
        <v>0</v>
      </c>
      <c r="P22" s="311">
        <v>4.5</v>
      </c>
      <c r="Q22" s="308">
        <v>9</v>
      </c>
      <c r="R22" s="307" t="s">
        <v>515</v>
      </c>
      <c r="S22" s="307" t="s">
        <v>515</v>
      </c>
      <c r="T22" s="308"/>
      <c r="U22" s="309">
        <v>40</v>
      </c>
      <c r="V22" s="140" t="str">
        <f t="shared" si="0"/>
        <v>Sí</v>
      </c>
      <c r="W22" s="141">
        <f t="shared" si="1"/>
        <v>3</v>
      </c>
      <c r="Y22" s="261" t="str">
        <f>IFERROR(VLOOKUP(C22,Tabla15[[Piloto]:[Puntos clase]],6, FALSE), " ")</f>
        <v xml:space="preserve"> </v>
      </c>
    </row>
    <row r="23" spans="2:26" ht="12.75" customHeight="1" x14ac:dyDescent="0.3">
      <c r="B23" s="304">
        <v>20</v>
      </c>
      <c r="C23" s="305" t="s">
        <v>252</v>
      </c>
      <c r="D23" s="306" t="s">
        <v>359</v>
      </c>
      <c r="E23" s="306" t="s">
        <v>514</v>
      </c>
      <c r="F23" s="307">
        <v>0</v>
      </c>
      <c r="G23" s="307">
        <v>5</v>
      </c>
      <c r="H23" s="308">
        <v>10</v>
      </c>
      <c r="I23" s="307"/>
      <c r="J23" s="307"/>
      <c r="K23" s="308"/>
      <c r="L23" s="307">
        <v>0</v>
      </c>
      <c r="M23" s="307">
        <v>7</v>
      </c>
      <c r="N23" s="308">
        <v>21</v>
      </c>
      <c r="O23" s="307">
        <v>0</v>
      </c>
      <c r="P23" s="307">
        <v>3</v>
      </c>
      <c r="Q23" s="308">
        <v>6</v>
      </c>
      <c r="R23" s="307" t="s">
        <v>515</v>
      </c>
      <c r="S23" s="307" t="s">
        <v>515</v>
      </c>
      <c r="T23" s="308"/>
      <c r="U23" s="309">
        <v>37</v>
      </c>
      <c r="V23" s="140" t="str">
        <f t="shared" si="0"/>
        <v>Sí</v>
      </c>
      <c r="W23" s="141">
        <f t="shared" si="1"/>
        <v>3</v>
      </c>
      <c r="Y23" s="261" t="str">
        <f>IFERROR(VLOOKUP(C23,Tabla15[[Piloto]:[Puntos clase]],6, FALSE), " ")</f>
        <v xml:space="preserve"> </v>
      </c>
    </row>
    <row r="24" spans="2:26" ht="13" x14ac:dyDescent="0.3">
      <c r="B24" s="304">
        <v>22</v>
      </c>
      <c r="C24" s="305" t="s">
        <v>234</v>
      </c>
      <c r="D24" s="306">
        <v>1</v>
      </c>
      <c r="E24" s="306" t="s">
        <v>513</v>
      </c>
      <c r="F24" s="307">
        <v>0</v>
      </c>
      <c r="G24" s="307">
        <v>0</v>
      </c>
      <c r="H24" s="308">
        <v>0</v>
      </c>
      <c r="I24" s="307"/>
      <c r="J24" s="307"/>
      <c r="K24" s="308"/>
      <c r="L24" s="307">
        <v>0</v>
      </c>
      <c r="M24" s="307">
        <v>0</v>
      </c>
      <c r="N24" s="308">
        <v>0</v>
      </c>
      <c r="O24" s="307">
        <v>12</v>
      </c>
      <c r="P24" s="307">
        <v>5</v>
      </c>
      <c r="Q24" s="308">
        <v>34</v>
      </c>
      <c r="R24" s="307" t="s">
        <v>515</v>
      </c>
      <c r="S24" s="307" t="s">
        <v>515</v>
      </c>
      <c r="T24" s="308"/>
      <c r="U24" s="309">
        <v>34</v>
      </c>
      <c r="V24" s="140" t="str">
        <f t="shared" si="0"/>
        <v>Sí</v>
      </c>
      <c r="W24" s="141">
        <f t="shared" si="1"/>
        <v>3</v>
      </c>
      <c r="Y24" s="261" t="str">
        <f>IFERROR(VLOOKUP(C24,Tabla15[[Piloto]:[Puntos clase]],6, FALSE), " ")</f>
        <v xml:space="preserve"> </v>
      </c>
    </row>
    <row r="25" spans="2:26" ht="13" x14ac:dyDescent="0.3">
      <c r="B25" s="304">
        <v>23</v>
      </c>
      <c r="C25" s="305" t="s">
        <v>312</v>
      </c>
      <c r="D25" s="306">
        <v>3</v>
      </c>
      <c r="E25" s="306" t="s">
        <v>514</v>
      </c>
      <c r="F25" s="307">
        <v>0</v>
      </c>
      <c r="G25" s="307">
        <v>1</v>
      </c>
      <c r="H25" s="308">
        <v>2</v>
      </c>
      <c r="I25" s="307">
        <v>1</v>
      </c>
      <c r="J25" s="307">
        <v>3</v>
      </c>
      <c r="K25" s="308">
        <v>8</v>
      </c>
      <c r="L25" s="307">
        <v>0</v>
      </c>
      <c r="M25" s="307">
        <v>0</v>
      </c>
      <c r="N25" s="308">
        <v>0</v>
      </c>
      <c r="O25" s="307">
        <v>2</v>
      </c>
      <c r="P25" s="307">
        <v>9</v>
      </c>
      <c r="Q25" s="308">
        <v>22</v>
      </c>
      <c r="R25" s="307">
        <v>0</v>
      </c>
      <c r="S25" s="307">
        <v>1</v>
      </c>
      <c r="T25" s="308">
        <v>1</v>
      </c>
      <c r="U25" s="309">
        <v>33</v>
      </c>
      <c r="V25" s="140" t="str">
        <f t="shared" si="0"/>
        <v>Sí</v>
      </c>
      <c r="W25" s="141">
        <f t="shared" si="1"/>
        <v>5</v>
      </c>
      <c r="Y25" s="261" t="str">
        <f>IFERROR(VLOOKUP(C25,Tabla15[[Piloto]:[Puntos clase]],6, FALSE), " ")</f>
        <v xml:space="preserve"> </v>
      </c>
    </row>
    <row r="26" spans="2:26" ht="13" x14ac:dyDescent="0.3">
      <c r="B26" s="304">
        <v>27</v>
      </c>
      <c r="C26" s="305" t="s">
        <v>275</v>
      </c>
      <c r="D26" s="306" t="s">
        <v>359</v>
      </c>
      <c r="E26" s="306">
        <v>2</v>
      </c>
      <c r="F26" s="307">
        <v>0</v>
      </c>
      <c r="G26" s="307">
        <v>3</v>
      </c>
      <c r="H26" s="308">
        <v>6</v>
      </c>
      <c r="I26" s="307">
        <v>0</v>
      </c>
      <c r="J26" s="307">
        <v>1</v>
      </c>
      <c r="K26" s="308">
        <v>2</v>
      </c>
      <c r="L26" s="307"/>
      <c r="M26" s="307"/>
      <c r="N26" s="308"/>
      <c r="O26" s="307" t="s">
        <v>515</v>
      </c>
      <c r="P26" s="307" t="s">
        <v>515</v>
      </c>
      <c r="Q26" s="308"/>
      <c r="R26" s="307">
        <v>0</v>
      </c>
      <c r="S26" s="307">
        <v>7</v>
      </c>
      <c r="T26" s="308">
        <v>7</v>
      </c>
      <c r="U26" s="309">
        <v>15</v>
      </c>
      <c r="V26" s="140" t="str">
        <f t="shared" si="0"/>
        <v>Sí</v>
      </c>
      <c r="W26" s="141">
        <f t="shared" si="1"/>
        <v>3</v>
      </c>
      <c r="Y26" s="261" t="str">
        <f>IFERROR(VLOOKUP(C26,Tabla15[[Piloto]:[Puntos clase]],6, FALSE), " ")</f>
        <v xml:space="preserve"> </v>
      </c>
    </row>
    <row r="27" spans="2:26" x14ac:dyDescent="0.3">
      <c r="B27" s="156"/>
      <c r="C27" s="3"/>
      <c r="D27" s="3"/>
      <c r="E27" s="3"/>
      <c r="F27" s="3"/>
      <c r="G27" s="3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2:26" ht="12" x14ac:dyDescent="0.3">
      <c r="B28" s="156"/>
      <c r="C28" s="3"/>
      <c r="D28" s="311"/>
      <c r="E28" s="285" t="s">
        <v>462</v>
      </c>
      <c r="F28" s="3"/>
      <c r="G28" s="3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2:26" ht="12.75" customHeight="1" x14ac:dyDescent="0.3">
      <c r="B29" s="1"/>
      <c r="C29" s="156"/>
      <c r="D29" s="2"/>
      <c r="E29" s="2"/>
      <c r="F29" s="2"/>
      <c r="G29" s="2"/>
      <c r="H29" s="3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5"/>
      <c r="Z29" s="2"/>
    </row>
    <row r="30" spans="2:26" ht="15.65" customHeight="1" x14ac:dyDescent="0.3">
      <c r="B30" s="301" t="s">
        <v>466</v>
      </c>
      <c r="C30" s="156"/>
      <c r="D30" s="2"/>
      <c r="E30" s="2"/>
      <c r="F30" s="2"/>
      <c r="G30" s="2"/>
      <c r="H30" s="3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5"/>
      <c r="Z30" s="2"/>
    </row>
    <row r="31" spans="2:26" ht="12.75" customHeight="1" x14ac:dyDescent="0.3">
      <c r="B31" s="327"/>
      <c r="C31" s="330"/>
      <c r="D31" s="333"/>
      <c r="E31" s="333"/>
      <c r="F31" s="336" t="s">
        <v>220</v>
      </c>
      <c r="G31" s="337"/>
      <c r="H31" s="338"/>
      <c r="I31" s="336" t="s">
        <v>221</v>
      </c>
      <c r="J31" s="342"/>
      <c r="K31" s="343"/>
      <c r="L31" s="336" t="s">
        <v>390</v>
      </c>
      <c r="M31" s="342"/>
      <c r="N31" s="343"/>
      <c r="O31" s="336" t="s">
        <v>287</v>
      </c>
      <c r="P31" s="342"/>
      <c r="Q31" s="343"/>
      <c r="R31" s="336" t="s">
        <v>222</v>
      </c>
      <c r="S31" s="342"/>
      <c r="T31" s="343"/>
      <c r="U31" s="333" t="s">
        <v>213</v>
      </c>
      <c r="V31" s="4"/>
      <c r="W31" s="4"/>
      <c r="X31" s="5"/>
      <c r="Z31" s="2"/>
    </row>
    <row r="32" spans="2:26" ht="12.75" customHeight="1" x14ac:dyDescent="0.3">
      <c r="B32" s="328" t="s">
        <v>0</v>
      </c>
      <c r="C32" s="331" t="s">
        <v>1</v>
      </c>
      <c r="D32" s="334" t="s">
        <v>2</v>
      </c>
      <c r="E32" s="334" t="s">
        <v>3</v>
      </c>
      <c r="F32" s="339" t="s">
        <v>288</v>
      </c>
      <c r="G32" s="340"/>
      <c r="H32" s="341"/>
      <c r="I32" s="339" t="s">
        <v>289</v>
      </c>
      <c r="J32" s="344"/>
      <c r="K32" s="345"/>
      <c r="L32" s="339" t="s">
        <v>290</v>
      </c>
      <c r="M32" s="344"/>
      <c r="N32" s="345"/>
      <c r="O32" s="339" t="s">
        <v>291</v>
      </c>
      <c r="P32" s="344"/>
      <c r="Q32" s="345"/>
      <c r="R32" s="339" t="s">
        <v>292</v>
      </c>
      <c r="S32" s="344"/>
      <c r="T32" s="345"/>
      <c r="U32" s="334" t="s">
        <v>9</v>
      </c>
      <c r="V32" s="4"/>
      <c r="W32" s="4"/>
      <c r="X32" s="5"/>
      <c r="Z32" s="2"/>
    </row>
    <row r="33" spans="2:26" ht="12.75" customHeight="1" x14ac:dyDescent="0.3">
      <c r="B33" s="329"/>
      <c r="C33" s="332"/>
      <c r="D33" s="335"/>
      <c r="E33" s="335"/>
      <c r="F33" s="325" t="s">
        <v>33</v>
      </c>
      <c r="G33" s="325" t="s">
        <v>34</v>
      </c>
      <c r="H33" s="326" t="s">
        <v>35</v>
      </c>
      <c r="I33" s="325" t="s">
        <v>33</v>
      </c>
      <c r="J33" s="325" t="s">
        <v>34</v>
      </c>
      <c r="K33" s="326" t="s">
        <v>35</v>
      </c>
      <c r="L33" s="325" t="s">
        <v>33</v>
      </c>
      <c r="M33" s="325" t="s">
        <v>34</v>
      </c>
      <c r="N33" s="326" t="s">
        <v>35</v>
      </c>
      <c r="O33" s="325" t="s">
        <v>33</v>
      </c>
      <c r="P33" s="325" t="s">
        <v>34</v>
      </c>
      <c r="Q33" s="326" t="s">
        <v>35</v>
      </c>
      <c r="R33" s="325" t="s">
        <v>33</v>
      </c>
      <c r="S33" s="325" t="s">
        <v>34</v>
      </c>
      <c r="T33" s="326" t="s">
        <v>35</v>
      </c>
      <c r="U33" s="335"/>
      <c r="V33" s="4"/>
      <c r="W33" s="4"/>
      <c r="X33" s="5"/>
      <c r="Z33" s="2"/>
    </row>
    <row r="34" spans="2:26" ht="12.75" customHeight="1" x14ac:dyDescent="0.3">
      <c r="B34" s="312"/>
      <c r="C34" s="305" t="s">
        <v>365</v>
      </c>
      <c r="D34" s="306">
        <v>1</v>
      </c>
      <c r="E34" s="306">
        <v>4</v>
      </c>
      <c r="F34" s="307"/>
      <c r="G34" s="307"/>
      <c r="H34" s="308"/>
      <c r="I34" s="307"/>
      <c r="J34" s="307"/>
      <c r="K34" s="308"/>
      <c r="L34" s="307">
        <v>12</v>
      </c>
      <c r="M34" s="307">
        <v>5</v>
      </c>
      <c r="N34" s="308">
        <v>51</v>
      </c>
      <c r="O34" s="307" t="s">
        <v>515</v>
      </c>
      <c r="P34" s="307" t="s">
        <v>515</v>
      </c>
      <c r="Q34" s="308"/>
      <c r="R34" s="307" t="s">
        <v>515</v>
      </c>
      <c r="S34" s="307" t="s">
        <v>515</v>
      </c>
      <c r="T34" s="308"/>
      <c r="U34" s="309">
        <v>51</v>
      </c>
      <c r="V34" s="4"/>
      <c r="W34" s="4"/>
      <c r="X34" s="5"/>
      <c r="Z34" s="2"/>
    </row>
    <row r="35" spans="2:26" ht="12.75" customHeight="1" x14ac:dyDescent="0.3">
      <c r="B35" s="312"/>
      <c r="C35" s="310" t="s">
        <v>281</v>
      </c>
      <c r="D35" s="306">
        <v>1</v>
      </c>
      <c r="E35" s="306" t="s">
        <v>513</v>
      </c>
      <c r="F35" s="307">
        <v>14</v>
      </c>
      <c r="G35" s="307">
        <v>7</v>
      </c>
      <c r="H35" s="308">
        <v>42</v>
      </c>
      <c r="I35" s="307"/>
      <c r="J35" s="307"/>
      <c r="K35" s="308"/>
      <c r="L35" s="307" t="s">
        <v>515</v>
      </c>
      <c r="M35" s="307" t="s">
        <v>515</v>
      </c>
      <c r="N35" s="308"/>
      <c r="O35" s="307" t="s">
        <v>515</v>
      </c>
      <c r="P35" s="307" t="s">
        <v>515</v>
      </c>
      <c r="Q35" s="308"/>
      <c r="R35" s="307" t="s">
        <v>515</v>
      </c>
      <c r="S35" s="307" t="s">
        <v>515</v>
      </c>
      <c r="T35" s="308"/>
      <c r="U35" s="309">
        <v>42</v>
      </c>
      <c r="V35" s="4"/>
      <c r="W35" s="4"/>
      <c r="X35" s="5"/>
      <c r="Z35" s="2"/>
    </row>
    <row r="36" spans="2:26" ht="12.75" customHeight="1" x14ac:dyDescent="0.3">
      <c r="B36" s="312"/>
      <c r="C36" s="305" t="s">
        <v>366</v>
      </c>
      <c r="D36" s="306">
        <v>3</v>
      </c>
      <c r="E36" s="306">
        <v>2</v>
      </c>
      <c r="F36" s="307"/>
      <c r="G36" s="307"/>
      <c r="H36" s="308"/>
      <c r="I36" s="307"/>
      <c r="J36" s="307"/>
      <c r="K36" s="308"/>
      <c r="L36" s="307">
        <v>2</v>
      </c>
      <c r="M36" s="307">
        <v>7</v>
      </c>
      <c r="N36" s="308">
        <v>27</v>
      </c>
      <c r="O36" s="307" t="s">
        <v>515</v>
      </c>
      <c r="P36" s="307" t="s">
        <v>515</v>
      </c>
      <c r="Q36" s="308"/>
      <c r="R36" s="307">
        <v>4</v>
      </c>
      <c r="S36" s="307">
        <v>5</v>
      </c>
      <c r="T36" s="308">
        <v>9</v>
      </c>
      <c r="U36" s="309">
        <v>36</v>
      </c>
      <c r="V36" s="4"/>
      <c r="W36" s="4"/>
      <c r="X36" s="5"/>
      <c r="Z36" s="2"/>
    </row>
    <row r="37" spans="2:26" ht="12.75" customHeight="1" x14ac:dyDescent="0.3">
      <c r="B37" s="312"/>
      <c r="C37" s="305" t="s">
        <v>245</v>
      </c>
      <c r="D37" s="306">
        <v>3</v>
      </c>
      <c r="E37" s="306" t="s">
        <v>514</v>
      </c>
      <c r="F37" s="307">
        <v>4</v>
      </c>
      <c r="G37" s="307">
        <v>9</v>
      </c>
      <c r="H37" s="308">
        <v>26</v>
      </c>
      <c r="I37" s="307"/>
      <c r="J37" s="307"/>
      <c r="K37" s="308"/>
      <c r="L37" s="307" t="s">
        <v>515</v>
      </c>
      <c r="M37" s="307" t="s">
        <v>515</v>
      </c>
      <c r="N37" s="308">
        <v>0</v>
      </c>
      <c r="O37" s="307" t="s">
        <v>515</v>
      </c>
      <c r="P37" s="307" t="s">
        <v>515</v>
      </c>
      <c r="Q37" s="308"/>
      <c r="R37" s="307" t="s">
        <v>515</v>
      </c>
      <c r="S37" s="307" t="s">
        <v>515</v>
      </c>
      <c r="T37" s="308"/>
      <c r="U37" s="309">
        <v>26</v>
      </c>
      <c r="V37" s="4"/>
      <c r="W37" s="4"/>
      <c r="X37" s="5"/>
      <c r="Z37" s="2"/>
    </row>
    <row r="38" spans="2:26" ht="12.75" customHeight="1" x14ac:dyDescent="0.3">
      <c r="B38" s="312"/>
      <c r="C38" s="305" t="s">
        <v>367</v>
      </c>
      <c r="D38" s="306">
        <v>5</v>
      </c>
      <c r="E38" s="306">
        <v>2</v>
      </c>
      <c r="F38" s="307"/>
      <c r="G38" s="307"/>
      <c r="H38" s="308"/>
      <c r="I38" s="307"/>
      <c r="J38" s="307"/>
      <c r="K38" s="308"/>
      <c r="L38" s="307">
        <v>0</v>
      </c>
      <c r="M38" s="307">
        <v>5</v>
      </c>
      <c r="N38" s="308">
        <v>15</v>
      </c>
      <c r="O38" s="307">
        <v>0</v>
      </c>
      <c r="P38" s="307">
        <v>5</v>
      </c>
      <c r="Q38" s="308">
        <v>10</v>
      </c>
      <c r="R38" s="307" t="s">
        <v>515</v>
      </c>
      <c r="S38" s="307" t="s">
        <v>515</v>
      </c>
      <c r="T38" s="308"/>
      <c r="U38" s="309">
        <v>25</v>
      </c>
      <c r="V38" s="4"/>
      <c r="W38" s="4"/>
      <c r="X38" s="5"/>
      <c r="Z38" s="2"/>
    </row>
    <row r="39" spans="2:26" ht="12.75" customHeight="1" x14ac:dyDescent="0.3">
      <c r="B39" s="312"/>
      <c r="C39" s="305" t="s">
        <v>174</v>
      </c>
      <c r="D39" s="306">
        <v>1</v>
      </c>
      <c r="E39" s="306">
        <v>4</v>
      </c>
      <c r="F39" s="307">
        <v>0</v>
      </c>
      <c r="G39" s="307">
        <v>0</v>
      </c>
      <c r="H39" s="308">
        <v>0</v>
      </c>
      <c r="I39" s="307"/>
      <c r="J39" s="307"/>
      <c r="K39" s="308"/>
      <c r="L39" s="307" t="s">
        <v>515</v>
      </c>
      <c r="M39" s="307" t="s">
        <v>515</v>
      </c>
      <c r="N39" s="308"/>
      <c r="O39" s="307">
        <v>5</v>
      </c>
      <c r="P39" s="307">
        <v>3</v>
      </c>
      <c r="Q39" s="308">
        <v>16</v>
      </c>
      <c r="R39" s="307" t="s">
        <v>515</v>
      </c>
      <c r="S39" s="307" t="s">
        <v>515</v>
      </c>
      <c r="T39" s="308"/>
      <c r="U39" s="309">
        <v>16</v>
      </c>
      <c r="V39" s="4"/>
      <c r="W39" s="4"/>
      <c r="X39" s="5"/>
      <c r="Z39" s="2"/>
    </row>
    <row r="40" spans="2:26" ht="12.75" customHeight="1" x14ac:dyDescent="0.3">
      <c r="B40" s="312"/>
      <c r="C40" s="310" t="s">
        <v>319</v>
      </c>
      <c r="D40" s="306">
        <v>3</v>
      </c>
      <c r="E40" s="306">
        <v>2</v>
      </c>
      <c r="F40" s="307">
        <v>0</v>
      </c>
      <c r="G40" s="307">
        <v>0</v>
      </c>
      <c r="H40" s="308">
        <v>0</v>
      </c>
      <c r="I40" s="307"/>
      <c r="J40" s="307"/>
      <c r="K40" s="308"/>
      <c r="L40" s="307" t="s">
        <v>515</v>
      </c>
      <c r="M40" s="307" t="s">
        <v>515</v>
      </c>
      <c r="N40" s="308"/>
      <c r="O40" s="307">
        <v>0</v>
      </c>
      <c r="P40" s="307">
        <v>7</v>
      </c>
      <c r="Q40" s="308">
        <v>14</v>
      </c>
      <c r="R40" s="307" t="s">
        <v>515</v>
      </c>
      <c r="S40" s="307" t="s">
        <v>515</v>
      </c>
      <c r="T40" s="308"/>
      <c r="U40" s="309">
        <v>14</v>
      </c>
      <c r="V40" s="4"/>
      <c r="W40" s="4"/>
      <c r="X40" s="5"/>
      <c r="Z40" s="2"/>
    </row>
    <row r="41" spans="2:26" ht="12.75" customHeight="1" x14ac:dyDescent="0.3">
      <c r="B41" s="312"/>
      <c r="C41" s="310" t="s">
        <v>300</v>
      </c>
      <c r="D41" s="306">
        <v>2</v>
      </c>
      <c r="E41" s="306">
        <v>2</v>
      </c>
      <c r="F41" s="307">
        <v>0</v>
      </c>
      <c r="G41" s="307">
        <v>5</v>
      </c>
      <c r="H41" s="308">
        <v>10</v>
      </c>
      <c r="I41" s="307"/>
      <c r="J41" s="307"/>
      <c r="K41" s="308"/>
      <c r="L41" s="307" t="s">
        <v>515</v>
      </c>
      <c r="M41" s="307" t="s">
        <v>515</v>
      </c>
      <c r="N41" s="308"/>
      <c r="O41" s="307" t="s">
        <v>515</v>
      </c>
      <c r="P41" s="307" t="s">
        <v>515</v>
      </c>
      <c r="Q41" s="308"/>
      <c r="R41" s="307" t="s">
        <v>515</v>
      </c>
      <c r="S41" s="307" t="s">
        <v>515</v>
      </c>
      <c r="T41" s="308"/>
      <c r="U41" s="309">
        <v>10</v>
      </c>
      <c r="V41" s="4"/>
      <c r="W41" s="4"/>
      <c r="X41" s="5"/>
      <c r="Z41" s="2"/>
    </row>
    <row r="42" spans="2:26" ht="12.75" customHeight="1" x14ac:dyDescent="0.3">
      <c r="B42" s="312"/>
      <c r="C42" s="305" t="s">
        <v>370</v>
      </c>
      <c r="D42" s="306">
        <v>5</v>
      </c>
      <c r="E42" s="306">
        <v>2</v>
      </c>
      <c r="F42" s="307"/>
      <c r="G42" s="307"/>
      <c r="H42" s="308"/>
      <c r="I42" s="307"/>
      <c r="J42" s="307"/>
      <c r="K42" s="308"/>
      <c r="L42" s="307">
        <v>0</v>
      </c>
      <c r="M42" s="307">
        <v>0</v>
      </c>
      <c r="N42" s="308">
        <v>0</v>
      </c>
      <c r="O42" s="307" t="s">
        <v>515</v>
      </c>
      <c r="P42" s="307" t="s">
        <v>515</v>
      </c>
      <c r="Q42" s="308"/>
      <c r="R42" s="307">
        <v>0</v>
      </c>
      <c r="S42" s="307">
        <v>9</v>
      </c>
      <c r="T42" s="308">
        <v>9</v>
      </c>
      <c r="U42" s="309">
        <v>9</v>
      </c>
      <c r="V42" s="4"/>
      <c r="W42" s="4"/>
      <c r="X42" s="5"/>
      <c r="Z42" s="2"/>
    </row>
    <row r="43" spans="2:26" ht="12.75" customHeight="1" x14ac:dyDescent="0.3">
      <c r="B43" s="312"/>
      <c r="C43" s="305" t="s">
        <v>317</v>
      </c>
      <c r="D43" s="306">
        <v>3</v>
      </c>
      <c r="E43" s="306">
        <v>2</v>
      </c>
      <c r="F43" s="307">
        <v>0</v>
      </c>
      <c r="G43" s="307">
        <v>0</v>
      </c>
      <c r="H43" s="308">
        <v>0</v>
      </c>
      <c r="I43" s="307"/>
      <c r="J43" s="307"/>
      <c r="K43" s="308"/>
      <c r="L43" s="307" t="s">
        <v>515</v>
      </c>
      <c r="M43" s="307" t="s">
        <v>515</v>
      </c>
      <c r="N43" s="308"/>
      <c r="O43" s="307" t="s">
        <v>515</v>
      </c>
      <c r="P43" s="307" t="s">
        <v>515</v>
      </c>
      <c r="Q43" s="308"/>
      <c r="R43" s="307" t="s">
        <v>515</v>
      </c>
      <c r="S43" s="307" t="s">
        <v>515</v>
      </c>
      <c r="T43" s="308"/>
      <c r="U43" s="309">
        <v>0</v>
      </c>
      <c r="V43" s="4"/>
      <c r="W43" s="4"/>
      <c r="X43" s="5"/>
      <c r="Z43" s="2"/>
    </row>
    <row r="44" spans="2:26" ht="12.75" customHeight="1" x14ac:dyDescent="0.3">
      <c r="B44" s="312"/>
      <c r="C44" s="305" t="s">
        <v>339</v>
      </c>
      <c r="D44" s="306">
        <v>3</v>
      </c>
      <c r="E44" s="306">
        <v>2</v>
      </c>
      <c r="F44" s="307">
        <v>0</v>
      </c>
      <c r="G44" s="307">
        <v>0</v>
      </c>
      <c r="H44" s="308">
        <v>0</v>
      </c>
      <c r="I44" s="307"/>
      <c r="J44" s="307"/>
      <c r="K44" s="308"/>
      <c r="L44" s="307" t="s">
        <v>515</v>
      </c>
      <c r="M44" s="307" t="s">
        <v>515</v>
      </c>
      <c r="N44" s="308"/>
      <c r="O44" s="307" t="s">
        <v>515</v>
      </c>
      <c r="P44" s="307" t="s">
        <v>515</v>
      </c>
      <c r="Q44" s="308"/>
      <c r="R44" s="307" t="s">
        <v>515</v>
      </c>
      <c r="S44" s="307" t="s">
        <v>515</v>
      </c>
      <c r="T44" s="308"/>
      <c r="U44" s="309">
        <v>0</v>
      </c>
      <c r="V44" s="4"/>
      <c r="W44" s="4"/>
      <c r="X44" s="5"/>
      <c r="Z44" s="2"/>
    </row>
    <row r="45" spans="2:26" ht="12.75" customHeight="1" x14ac:dyDescent="0.3">
      <c r="B45" s="312"/>
      <c r="C45" s="305" t="s">
        <v>369</v>
      </c>
      <c r="D45" s="306">
        <v>1</v>
      </c>
      <c r="E45" s="306">
        <v>4</v>
      </c>
      <c r="F45" s="307"/>
      <c r="G45" s="307"/>
      <c r="H45" s="308"/>
      <c r="I45" s="307"/>
      <c r="J45" s="307"/>
      <c r="K45" s="308"/>
      <c r="L45" s="307">
        <v>0</v>
      </c>
      <c r="M45" s="307">
        <v>0</v>
      </c>
      <c r="N45" s="308">
        <v>0</v>
      </c>
      <c r="O45" s="307">
        <v>0</v>
      </c>
      <c r="P45" s="307">
        <v>0</v>
      </c>
      <c r="Q45" s="308">
        <v>0</v>
      </c>
      <c r="R45" s="307" t="s">
        <v>515</v>
      </c>
      <c r="S45" s="307" t="s">
        <v>515</v>
      </c>
      <c r="T45" s="308"/>
      <c r="U45" s="309">
        <v>0</v>
      </c>
      <c r="V45" s="4"/>
      <c r="W45" s="4"/>
      <c r="X45" s="5"/>
      <c r="Z45" s="2"/>
    </row>
    <row r="46" spans="2:26" ht="12.75" customHeight="1" x14ac:dyDescent="0.3">
      <c r="B46" s="1"/>
      <c r="C46" s="156"/>
      <c r="D46" s="2"/>
      <c r="E46" s="2"/>
      <c r="F46" s="2"/>
      <c r="G46" s="2"/>
      <c r="H46" s="3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5"/>
      <c r="Z46" s="2"/>
    </row>
    <row r="47" spans="2:26" ht="12.75" customHeight="1" x14ac:dyDescent="0.3">
      <c r="B47" s="1"/>
      <c r="C47" s="236" t="s">
        <v>510</v>
      </c>
      <c r="D47" s="237" t="s">
        <v>467</v>
      </c>
      <c r="E47" s="2"/>
      <c r="F47" s="2"/>
      <c r="G47" s="2"/>
      <c r="H47" s="3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5"/>
      <c r="Z47" s="2"/>
    </row>
    <row r="48" spans="2:26" ht="12.75" customHeight="1" x14ac:dyDescent="0.3">
      <c r="B48" s="1"/>
      <c r="C48" s="156"/>
      <c r="D48" s="2"/>
      <c r="E48" s="2"/>
      <c r="F48" s="2"/>
      <c r="G48" s="2"/>
      <c r="H48" s="3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5"/>
      <c r="Z48" s="2"/>
    </row>
    <row r="49" spans="2:26" ht="12.75" customHeight="1" x14ac:dyDescent="0.3">
      <c r="B49" s="1"/>
      <c r="C49" s="156"/>
      <c r="D49" s="2"/>
      <c r="E49" s="2"/>
      <c r="F49" s="2"/>
      <c r="G49" s="2"/>
      <c r="H49" s="3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5"/>
      <c r="Z49" s="2"/>
    </row>
    <row r="50" spans="2:26" ht="12.75" customHeight="1" x14ac:dyDescent="0.3">
      <c r="B50" s="1"/>
      <c r="C50" s="156"/>
      <c r="D50" s="2"/>
      <c r="E50" s="2"/>
      <c r="F50" s="2"/>
      <c r="G50" s="2"/>
      <c r="H50" s="3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5"/>
      <c r="Z50" s="2"/>
    </row>
    <row r="51" spans="2:26" ht="12.75" customHeight="1" x14ac:dyDescent="0.3">
      <c r="B51" s="1"/>
      <c r="C51" s="156"/>
      <c r="D51" s="2"/>
      <c r="E51" s="2"/>
      <c r="F51" s="2"/>
      <c r="G51" s="2"/>
      <c r="H51" s="3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5"/>
      <c r="Z51" s="2"/>
    </row>
    <row r="52" spans="2:26" ht="39" customHeight="1" x14ac:dyDescent="0.55000000000000004">
      <c r="B52" s="164" t="s">
        <v>468</v>
      </c>
      <c r="C52" s="165"/>
      <c r="D52" s="165"/>
      <c r="E52" s="165"/>
      <c r="F52" s="165"/>
      <c r="G52" s="165"/>
      <c r="H52" s="165"/>
      <c r="I52" s="165"/>
      <c r="J52" s="165"/>
      <c r="K52" s="165"/>
      <c r="L52" s="165"/>
      <c r="M52" s="165"/>
      <c r="N52" s="165"/>
      <c r="O52" s="165"/>
      <c r="P52" s="165"/>
      <c r="Q52" s="165"/>
      <c r="R52" s="165"/>
      <c r="S52" s="165"/>
      <c r="T52" s="165"/>
      <c r="U52" s="165"/>
    </row>
    <row r="53" spans="2:26" ht="37.5" customHeight="1" x14ac:dyDescent="0.3">
      <c r="B53" s="302" t="s">
        <v>471</v>
      </c>
      <c r="C53" s="303"/>
      <c r="D53" s="303"/>
      <c r="E53" s="303"/>
      <c r="F53" s="303"/>
      <c r="G53" s="303"/>
      <c r="H53" s="303"/>
      <c r="I53" s="303"/>
      <c r="J53" s="303"/>
      <c r="K53" s="303"/>
      <c r="L53" s="303"/>
      <c r="M53" s="303"/>
      <c r="N53" s="303"/>
      <c r="O53" s="303"/>
      <c r="P53" s="303"/>
      <c r="Q53" s="303"/>
      <c r="R53" s="303"/>
      <c r="S53" s="303"/>
      <c r="T53" s="303"/>
      <c r="U53" s="303"/>
      <c r="V53" s="30"/>
      <c r="W53" s="30"/>
    </row>
    <row r="54" spans="2:26" ht="12.75" customHeight="1" x14ac:dyDescent="0.3">
      <c r="B54" s="327"/>
      <c r="C54" s="330"/>
      <c r="D54" s="333"/>
      <c r="E54" s="333"/>
      <c r="F54" s="336" t="s">
        <v>220</v>
      </c>
      <c r="G54" s="337"/>
      <c r="H54" s="338"/>
      <c r="I54" s="336" t="s">
        <v>221</v>
      </c>
      <c r="J54" s="342"/>
      <c r="K54" s="343"/>
      <c r="L54" s="336" t="s">
        <v>390</v>
      </c>
      <c r="M54" s="342"/>
      <c r="N54" s="343"/>
      <c r="O54" s="336" t="s">
        <v>287</v>
      </c>
      <c r="P54" s="342"/>
      <c r="Q54" s="343"/>
      <c r="R54" s="336" t="s">
        <v>222</v>
      </c>
      <c r="S54" s="342"/>
      <c r="T54" s="343"/>
      <c r="U54" s="333" t="s">
        <v>213</v>
      </c>
      <c r="V54" s="30"/>
      <c r="W54" s="30"/>
    </row>
    <row r="55" spans="2:26" ht="12.75" customHeight="1" x14ac:dyDescent="0.3">
      <c r="B55" s="328" t="s">
        <v>0</v>
      </c>
      <c r="C55" s="331" t="s">
        <v>1</v>
      </c>
      <c r="D55" s="334" t="s">
        <v>2</v>
      </c>
      <c r="E55" s="334" t="s">
        <v>3</v>
      </c>
      <c r="F55" s="339" t="s">
        <v>288</v>
      </c>
      <c r="G55" s="340"/>
      <c r="H55" s="341"/>
      <c r="I55" s="339" t="s">
        <v>289</v>
      </c>
      <c r="J55" s="344"/>
      <c r="K55" s="345"/>
      <c r="L55" s="339" t="s">
        <v>290</v>
      </c>
      <c r="M55" s="344"/>
      <c r="N55" s="345"/>
      <c r="O55" s="339" t="s">
        <v>291</v>
      </c>
      <c r="P55" s="344"/>
      <c r="Q55" s="345"/>
      <c r="R55" s="339" t="s">
        <v>292</v>
      </c>
      <c r="S55" s="344"/>
      <c r="T55" s="345"/>
      <c r="U55" s="334" t="s">
        <v>9</v>
      </c>
      <c r="V55" s="519" t="s">
        <v>223</v>
      </c>
      <c r="W55" s="521" t="s">
        <v>4</v>
      </c>
    </row>
    <row r="56" spans="2:26" ht="12.75" customHeight="1" thickBot="1" x14ac:dyDescent="0.35">
      <c r="B56" s="329"/>
      <c r="C56" s="332"/>
      <c r="D56" s="364"/>
      <c r="E56" s="335"/>
      <c r="F56" s="325" t="s">
        <v>33</v>
      </c>
      <c r="G56" s="325" t="s">
        <v>34</v>
      </c>
      <c r="H56" s="326" t="s">
        <v>35</v>
      </c>
      <c r="I56" s="325" t="s">
        <v>33</v>
      </c>
      <c r="J56" s="325" t="s">
        <v>34</v>
      </c>
      <c r="K56" s="326" t="s">
        <v>35</v>
      </c>
      <c r="L56" s="325" t="s">
        <v>33</v>
      </c>
      <c r="M56" s="325" t="s">
        <v>34</v>
      </c>
      <c r="N56" s="326" t="s">
        <v>35</v>
      </c>
      <c r="O56" s="325" t="s">
        <v>33</v>
      </c>
      <c r="P56" s="325" t="s">
        <v>34</v>
      </c>
      <c r="Q56" s="326" t="s">
        <v>35</v>
      </c>
      <c r="R56" s="325" t="s">
        <v>33</v>
      </c>
      <c r="S56" s="325" t="s">
        <v>34</v>
      </c>
      <c r="T56" s="326" t="s">
        <v>35</v>
      </c>
      <c r="U56" s="335"/>
      <c r="V56" s="520"/>
      <c r="W56" s="522"/>
    </row>
    <row r="57" spans="2:26" ht="12.75" customHeight="1" thickBot="1" x14ac:dyDescent="0.35">
      <c r="B57" s="319">
        <v>1</v>
      </c>
      <c r="C57" s="358" t="s">
        <v>285</v>
      </c>
      <c r="D57" s="366">
        <v>1</v>
      </c>
      <c r="E57" s="361" t="s">
        <v>513</v>
      </c>
      <c r="F57" s="322">
        <v>17</v>
      </c>
      <c r="G57" s="322">
        <v>9</v>
      </c>
      <c r="H57" s="323">
        <v>52</v>
      </c>
      <c r="I57" s="322">
        <v>20</v>
      </c>
      <c r="J57" s="322">
        <v>12</v>
      </c>
      <c r="K57" s="323">
        <v>64</v>
      </c>
      <c r="L57" s="322">
        <v>20</v>
      </c>
      <c r="M57" s="322">
        <v>12</v>
      </c>
      <c r="N57" s="323">
        <v>96</v>
      </c>
      <c r="O57" s="322">
        <v>17</v>
      </c>
      <c r="P57" s="322">
        <v>9</v>
      </c>
      <c r="Q57" s="323">
        <v>52</v>
      </c>
      <c r="R57" s="322"/>
      <c r="S57" s="322"/>
      <c r="T57" s="323"/>
      <c r="U57" s="324">
        <v>264</v>
      </c>
      <c r="V57" s="140" t="str">
        <f>IF(W57&gt;=3,"Sí","No")</f>
        <v>Sí</v>
      </c>
      <c r="W57" s="141">
        <f>COUNTA(H57,K57,N57,Q57,T57)</f>
        <v>4</v>
      </c>
      <c r="Y57" s="261" t="str">
        <f>IFERROR(VLOOKUP(C57,Tabla15[[Piloto]:[Puntos clase]],6, FALSE), " ")</f>
        <v xml:space="preserve"> </v>
      </c>
    </row>
    <row r="58" spans="2:26" ht="12.75" customHeight="1" thickBot="1" x14ac:dyDescent="0.35">
      <c r="B58" s="304">
        <v>1</v>
      </c>
      <c r="C58" s="359" t="s">
        <v>295</v>
      </c>
      <c r="D58" s="366">
        <v>2</v>
      </c>
      <c r="E58" s="362" t="s">
        <v>514</v>
      </c>
      <c r="F58" s="357">
        <v>12</v>
      </c>
      <c r="G58" s="307">
        <v>12</v>
      </c>
      <c r="H58" s="308">
        <v>48</v>
      </c>
      <c r="I58" s="307">
        <v>14</v>
      </c>
      <c r="J58" s="307">
        <v>12</v>
      </c>
      <c r="K58" s="308">
        <v>52</v>
      </c>
      <c r="L58" s="307">
        <v>10</v>
      </c>
      <c r="M58" s="307">
        <v>12</v>
      </c>
      <c r="N58" s="308">
        <v>66</v>
      </c>
      <c r="O58" s="307">
        <v>8</v>
      </c>
      <c r="P58" s="307">
        <v>9</v>
      </c>
      <c r="Q58" s="308">
        <v>34</v>
      </c>
      <c r="R58" s="307">
        <v>14</v>
      </c>
      <c r="S58" s="307">
        <v>12</v>
      </c>
      <c r="T58" s="308">
        <v>26</v>
      </c>
      <c r="U58" s="309">
        <v>226</v>
      </c>
      <c r="V58" s="140" t="str">
        <f t="shared" ref="V58:V74" si="2">IF(W58&gt;=3,"Sí","No")</f>
        <v>Sí</v>
      </c>
      <c r="W58" s="141">
        <f t="shared" ref="W58:W74" si="3">COUNTA(H58,K58,N58,Q58,T58)</f>
        <v>5</v>
      </c>
      <c r="X58" s="5"/>
      <c r="Y58" s="261" t="str">
        <f>IFERROR(VLOOKUP(C58,Tabla15[[Piloto]:[Puntos clase]],6, FALSE), " ")</f>
        <v xml:space="preserve"> </v>
      </c>
      <c r="Z58" s="2"/>
    </row>
    <row r="59" spans="2:26" ht="12.75" customHeight="1" x14ac:dyDescent="0.3">
      <c r="B59" s="304">
        <v>2</v>
      </c>
      <c r="C59" s="305" t="s">
        <v>225</v>
      </c>
      <c r="D59" s="321">
        <v>1</v>
      </c>
      <c r="E59" s="321" t="s">
        <v>513</v>
      </c>
      <c r="F59" s="307">
        <v>20</v>
      </c>
      <c r="G59" s="307">
        <v>12</v>
      </c>
      <c r="H59" s="308">
        <v>64</v>
      </c>
      <c r="I59" s="307">
        <v>17</v>
      </c>
      <c r="J59" s="307">
        <v>9</v>
      </c>
      <c r="K59" s="308">
        <v>52</v>
      </c>
      <c r="L59" s="307">
        <v>17</v>
      </c>
      <c r="M59" s="307">
        <v>9</v>
      </c>
      <c r="N59" s="308">
        <v>78</v>
      </c>
      <c r="O59" s="307">
        <v>0</v>
      </c>
      <c r="P59" s="307">
        <v>0</v>
      </c>
      <c r="Q59" s="308">
        <v>0</v>
      </c>
      <c r="R59" s="307">
        <v>17</v>
      </c>
      <c r="S59" s="307">
        <v>9</v>
      </c>
      <c r="T59" s="308">
        <v>26</v>
      </c>
      <c r="U59" s="309">
        <v>220</v>
      </c>
      <c r="V59" s="140" t="str">
        <f t="shared" si="2"/>
        <v>Sí</v>
      </c>
      <c r="W59" s="141">
        <f t="shared" si="3"/>
        <v>5</v>
      </c>
      <c r="X59" s="5"/>
      <c r="Y59" s="261" t="str">
        <f>IFERROR(VLOOKUP(C59,Tabla15[[Piloto]:[Puntos clase]],6, FALSE), " ")</f>
        <v xml:space="preserve"> </v>
      </c>
      <c r="Z59" s="2"/>
    </row>
    <row r="60" spans="2:26" ht="12.75" customHeight="1" x14ac:dyDescent="0.3">
      <c r="B60" s="304">
        <v>3</v>
      </c>
      <c r="C60" s="305" t="s">
        <v>364</v>
      </c>
      <c r="D60" s="306">
        <v>1</v>
      </c>
      <c r="E60" s="306">
        <v>4</v>
      </c>
      <c r="F60" s="307"/>
      <c r="G60" s="307"/>
      <c r="H60" s="308"/>
      <c r="I60" s="307"/>
      <c r="J60" s="307"/>
      <c r="K60" s="308"/>
      <c r="L60" s="307">
        <v>14</v>
      </c>
      <c r="M60" s="307">
        <v>7</v>
      </c>
      <c r="N60" s="308">
        <v>63</v>
      </c>
      <c r="O60" s="307">
        <v>20</v>
      </c>
      <c r="P60" s="307">
        <v>12</v>
      </c>
      <c r="Q60" s="308">
        <v>64</v>
      </c>
      <c r="R60" s="307">
        <v>20</v>
      </c>
      <c r="S60" s="307">
        <v>12</v>
      </c>
      <c r="T60" s="308">
        <v>32</v>
      </c>
      <c r="U60" s="309">
        <v>159</v>
      </c>
      <c r="V60" s="140" t="str">
        <f t="shared" si="2"/>
        <v>Sí</v>
      </c>
      <c r="W60" s="141">
        <f t="shared" si="3"/>
        <v>3</v>
      </c>
      <c r="X60" s="5"/>
      <c r="Y60" s="261" t="str">
        <f>IFERROR(VLOOKUP(C60,Tabla15[[Piloto]:[Puntos clase]],6, FALSE), " ")</f>
        <v xml:space="preserve"> </v>
      </c>
      <c r="Z60" s="2"/>
    </row>
    <row r="61" spans="2:26" ht="12.75" customHeight="1" thickBot="1" x14ac:dyDescent="0.35">
      <c r="B61" s="304">
        <v>2</v>
      </c>
      <c r="C61" s="310" t="s">
        <v>226</v>
      </c>
      <c r="D61" s="365">
        <v>2</v>
      </c>
      <c r="E61" s="306" t="s">
        <v>514</v>
      </c>
      <c r="F61" s="307">
        <v>0</v>
      </c>
      <c r="G61" s="307">
        <v>0</v>
      </c>
      <c r="H61" s="308">
        <v>0</v>
      </c>
      <c r="I61" s="307">
        <v>12</v>
      </c>
      <c r="J61" s="307">
        <v>9</v>
      </c>
      <c r="K61" s="308">
        <v>42</v>
      </c>
      <c r="L61" s="307">
        <v>8</v>
      </c>
      <c r="M61" s="307">
        <v>9</v>
      </c>
      <c r="N61" s="308">
        <v>51</v>
      </c>
      <c r="O61" s="307">
        <v>10</v>
      </c>
      <c r="P61" s="307">
        <v>12</v>
      </c>
      <c r="Q61" s="308">
        <v>44</v>
      </c>
      <c r="R61" s="307">
        <v>12</v>
      </c>
      <c r="S61" s="307">
        <v>9</v>
      </c>
      <c r="T61" s="308">
        <v>21</v>
      </c>
      <c r="U61" s="309">
        <v>158</v>
      </c>
      <c r="V61" s="140" t="str">
        <f t="shared" si="2"/>
        <v>Sí</v>
      </c>
      <c r="W61" s="141">
        <f t="shared" si="3"/>
        <v>5</v>
      </c>
      <c r="Y61" s="261" t="str">
        <f>IFERROR(VLOOKUP(C61,Tabla15[[Piloto]:[Puntos clase]],6, FALSE), " ")</f>
        <v xml:space="preserve"> </v>
      </c>
    </row>
    <row r="62" spans="2:26" ht="12.75" customHeight="1" thickBot="1" x14ac:dyDescent="0.35">
      <c r="B62" s="304">
        <v>1</v>
      </c>
      <c r="C62" s="359" t="s">
        <v>368</v>
      </c>
      <c r="D62" s="366">
        <v>3</v>
      </c>
      <c r="E62" s="363" t="s">
        <v>514</v>
      </c>
      <c r="F62" s="307">
        <v>6</v>
      </c>
      <c r="G62" s="307">
        <v>12</v>
      </c>
      <c r="H62" s="308">
        <v>36</v>
      </c>
      <c r="I62" s="307">
        <v>10</v>
      </c>
      <c r="J62" s="307">
        <v>12</v>
      </c>
      <c r="K62" s="308">
        <v>44</v>
      </c>
      <c r="L62" s="307">
        <v>0</v>
      </c>
      <c r="M62" s="307">
        <v>3</v>
      </c>
      <c r="N62" s="308">
        <v>9</v>
      </c>
      <c r="O62" s="307">
        <v>4</v>
      </c>
      <c r="P62" s="307">
        <v>12</v>
      </c>
      <c r="Q62" s="308">
        <v>32</v>
      </c>
      <c r="R62" s="307">
        <v>6</v>
      </c>
      <c r="S62" s="307">
        <v>9</v>
      </c>
      <c r="T62" s="308">
        <v>15</v>
      </c>
      <c r="U62" s="309">
        <v>136</v>
      </c>
      <c r="V62" s="140" t="str">
        <f t="shared" si="2"/>
        <v>Sí</v>
      </c>
      <c r="W62" s="141">
        <f t="shared" si="3"/>
        <v>5</v>
      </c>
      <c r="Y62" s="261" t="str">
        <f>IFERROR(VLOOKUP(C62,Tabla15[[Piloto]:[Puntos clase]],6, FALSE), " ")</f>
        <v>2RM</v>
      </c>
    </row>
    <row r="63" spans="2:26" ht="12.75" customHeight="1" thickBot="1" x14ac:dyDescent="0.35">
      <c r="B63" s="304">
        <v>1</v>
      </c>
      <c r="C63" s="360" t="s">
        <v>356</v>
      </c>
      <c r="D63" s="366">
        <v>5</v>
      </c>
      <c r="E63" s="363" t="s">
        <v>513</v>
      </c>
      <c r="F63" s="307">
        <v>3</v>
      </c>
      <c r="G63" s="307">
        <v>9</v>
      </c>
      <c r="H63" s="308">
        <v>24</v>
      </c>
      <c r="I63" s="307">
        <v>0</v>
      </c>
      <c r="J63" s="307">
        <v>9</v>
      </c>
      <c r="K63" s="308">
        <v>18</v>
      </c>
      <c r="L63" s="307">
        <v>4</v>
      </c>
      <c r="M63" s="307">
        <v>12</v>
      </c>
      <c r="N63" s="308">
        <v>48</v>
      </c>
      <c r="O63" s="307">
        <v>1</v>
      </c>
      <c r="P63" s="307">
        <v>12</v>
      </c>
      <c r="Q63" s="308">
        <v>26</v>
      </c>
      <c r="R63" s="307" t="s">
        <v>515</v>
      </c>
      <c r="S63" s="307" t="s">
        <v>515</v>
      </c>
      <c r="T63" s="308"/>
      <c r="U63" s="309">
        <v>116</v>
      </c>
      <c r="V63" s="140" t="str">
        <f t="shared" si="2"/>
        <v>Sí</v>
      </c>
      <c r="W63" s="141">
        <f t="shared" si="3"/>
        <v>4</v>
      </c>
      <c r="Y63" s="261" t="str">
        <f>IFERROR(VLOOKUP(C63,Tabla15[[Piloto]:[Puntos clase]],6, FALSE), " ")</f>
        <v xml:space="preserve"> </v>
      </c>
    </row>
    <row r="64" spans="2:26" ht="12.75" customHeight="1" x14ac:dyDescent="0.3">
      <c r="B64" s="304">
        <v>2</v>
      </c>
      <c r="C64" s="305" t="s">
        <v>212</v>
      </c>
      <c r="D64" s="321">
        <v>3</v>
      </c>
      <c r="E64" s="306">
        <v>2</v>
      </c>
      <c r="F64" s="307"/>
      <c r="G64" s="307"/>
      <c r="H64" s="308"/>
      <c r="I64" s="307">
        <v>8</v>
      </c>
      <c r="J64" s="307">
        <v>9</v>
      </c>
      <c r="K64" s="308">
        <v>34</v>
      </c>
      <c r="L64" s="307">
        <v>6</v>
      </c>
      <c r="M64" s="307">
        <v>12</v>
      </c>
      <c r="N64" s="308">
        <v>54</v>
      </c>
      <c r="O64" s="307">
        <v>0</v>
      </c>
      <c r="P64" s="307">
        <v>0</v>
      </c>
      <c r="Q64" s="308">
        <v>0</v>
      </c>
      <c r="R64" s="307">
        <v>5</v>
      </c>
      <c r="S64" s="307">
        <v>7</v>
      </c>
      <c r="T64" s="308">
        <v>12</v>
      </c>
      <c r="U64" s="309">
        <v>100</v>
      </c>
      <c r="V64" s="140" t="str">
        <f t="shared" si="2"/>
        <v>Sí</v>
      </c>
      <c r="W64" s="141">
        <f t="shared" si="3"/>
        <v>4</v>
      </c>
      <c r="Y64" s="261" t="str">
        <f>IFERROR(VLOOKUP(C64,Tabla15[[Piloto]:[Puntos clase]],6, FALSE), " ")</f>
        <v xml:space="preserve"> </v>
      </c>
    </row>
    <row r="65" spans="2:26" ht="12.75" customHeight="1" x14ac:dyDescent="0.3">
      <c r="B65" s="304">
        <v>2</v>
      </c>
      <c r="C65" s="305" t="s">
        <v>305</v>
      </c>
      <c r="D65" s="306">
        <v>5</v>
      </c>
      <c r="E65" s="306" t="s">
        <v>514</v>
      </c>
      <c r="F65" s="307">
        <v>0</v>
      </c>
      <c r="G65" s="307">
        <v>5</v>
      </c>
      <c r="H65" s="308">
        <v>10</v>
      </c>
      <c r="I65" s="307">
        <v>4</v>
      </c>
      <c r="J65" s="307">
        <v>12</v>
      </c>
      <c r="K65" s="308">
        <v>32</v>
      </c>
      <c r="L65" s="307">
        <v>3</v>
      </c>
      <c r="M65" s="307">
        <v>9</v>
      </c>
      <c r="N65" s="308">
        <v>36</v>
      </c>
      <c r="O65" s="307">
        <v>0</v>
      </c>
      <c r="P65" s="307">
        <v>7</v>
      </c>
      <c r="Q65" s="308">
        <v>14</v>
      </c>
      <c r="R65" s="307" t="s">
        <v>515</v>
      </c>
      <c r="S65" s="307" t="s">
        <v>515</v>
      </c>
      <c r="T65" s="308"/>
      <c r="U65" s="309">
        <v>92</v>
      </c>
      <c r="V65" s="140" t="str">
        <f t="shared" si="2"/>
        <v>Sí</v>
      </c>
      <c r="W65" s="141">
        <f t="shared" si="3"/>
        <v>4</v>
      </c>
      <c r="Y65" s="261" t="str">
        <f>IFERROR(VLOOKUP(C65,Tabla15[[Piloto]:[Puntos clase]],6, FALSE), " ")</f>
        <v xml:space="preserve"> </v>
      </c>
    </row>
    <row r="66" spans="2:26" ht="12.75" customHeight="1" x14ac:dyDescent="0.3">
      <c r="B66" s="304">
        <v>3</v>
      </c>
      <c r="C66" s="305" t="s">
        <v>278</v>
      </c>
      <c r="D66" s="306">
        <v>3</v>
      </c>
      <c r="E66" s="306" t="s">
        <v>514</v>
      </c>
      <c r="F66" s="307">
        <v>0</v>
      </c>
      <c r="G66" s="307">
        <v>7</v>
      </c>
      <c r="H66" s="308">
        <v>14</v>
      </c>
      <c r="I66" s="307">
        <v>6</v>
      </c>
      <c r="J66" s="307">
        <v>7</v>
      </c>
      <c r="K66" s="308">
        <v>26</v>
      </c>
      <c r="L66" s="307">
        <v>5</v>
      </c>
      <c r="M66" s="307">
        <v>9</v>
      </c>
      <c r="N66" s="308">
        <v>42</v>
      </c>
      <c r="O66" s="307" t="s">
        <v>515</v>
      </c>
      <c r="P66" s="307" t="s">
        <v>515</v>
      </c>
      <c r="Q66" s="308"/>
      <c r="R66" s="307" t="s">
        <v>515</v>
      </c>
      <c r="S66" s="307" t="s">
        <v>515</v>
      </c>
      <c r="T66" s="308"/>
      <c r="U66" s="309">
        <v>82</v>
      </c>
      <c r="V66" s="140" t="str">
        <f t="shared" si="2"/>
        <v>Sí</v>
      </c>
      <c r="W66" s="141">
        <f t="shared" si="3"/>
        <v>3</v>
      </c>
      <c r="Y66" s="261" t="str">
        <f>IFERROR(VLOOKUP(C66,Tabla15[[Piloto]:[Puntos clase]],6, FALSE), " ")</f>
        <v xml:space="preserve"> </v>
      </c>
    </row>
    <row r="67" spans="2:26" ht="12.75" customHeight="1" x14ac:dyDescent="0.3">
      <c r="B67" s="304">
        <v>3</v>
      </c>
      <c r="C67" s="305" t="s">
        <v>249</v>
      </c>
      <c r="D67" s="306">
        <v>2</v>
      </c>
      <c r="E67" s="306" t="s">
        <v>514</v>
      </c>
      <c r="F67" s="307">
        <v>10</v>
      </c>
      <c r="G67" s="307">
        <v>9</v>
      </c>
      <c r="H67" s="308">
        <v>38</v>
      </c>
      <c r="I67" s="307">
        <v>0</v>
      </c>
      <c r="J67" s="307">
        <v>0</v>
      </c>
      <c r="K67" s="308">
        <v>0</v>
      </c>
      <c r="L67" s="307" t="s">
        <v>515</v>
      </c>
      <c r="M67" s="307" t="s">
        <v>515</v>
      </c>
      <c r="N67" s="308"/>
      <c r="O67" s="307">
        <v>6</v>
      </c>
      <c r="P67" s="307">
        <v>7</v>
      </c>
      <c r="Q67" s="308">
        <v>26</v>
      </c>
      <c r="R67" s="307">
        <v>10</v>
      </c>
      <c r="S67" s="307">
        <v>7</v>
      </c>
      <c r="T67" s="308">
        <v>17</v>
      </c>
      <c r="U67" s="309">
        <v>81</v>
      </c>
      <c r="V67" s="140" t="str">
        <f t="shared" si="2"/>
        <v>Sí</v>
      </c>
      <c r="W67" s="141">
        <f t="shared" si="3"/>
        <v>4</v>
      </c>
      <c r="Y67" s="261" t="str">
        <f>IFERROR(VLOOKUP(C67,Tabla15[[Piloto]:[Puntos clase]],6, FALSE), " ")</f>
        <v xml:space="preserve"> </v>
      </c>
    </row>
    <row r="68" spans="2:26" ht="12.75" customHeight="1" x14ac:dyDescent="0.3">
      <c r="B68" s="304">
        <v>3</v>
      </c>
      <c r="C68" s="305" t="s">
        <v>241</v>
      </c>
      <c r="D68" s="306">
        <v>5</v>
      </c>
      <c r="E68" s="306" t="s">
        <v>514</v>
      </c>
      <c r="F68" s="307">
        <v>8</v>
      </c>
      <c r="G68" s="307">
        <v>12</v>
      </c>
      <c r="H68" s="308">
        <v>40</v>
      </c>
      <c r="I68" s="307">
        <v>0</v>
      </c>
      <c r="J68" s="307">
        <v>0</v>
      </c>
      <c r="K68" s="308">
        <v>0</v>
      </c>
      <c r="L68" s="307">
        <v>0</v>
      </c>
      <c r="M68" s="307">
        <v>0</v>
      </c>
      <c r="N68" s="308">
        <v>0</v>
      </c>
      <c r="O68" s="307">
        <v>0</v>
      </c>
      <c r="P68" s="307">
        <v>9</v>
      </c>
      <c r="Q68" s="308">
        <v>18</v>
      </c>
      <c r="R68" s="307">
        <v>3</v>
      </c>
      <c r="S68" s="307">
        <v>12</v>
      </c>
      <c r="T68" s="308">
        <v>15</v>
      </c>
      <c r="U68" s="309">
        <v>73</v>
      </c>
      <c r="V68" s="140" t="str">
        <f t="shared" si="2"/>
        <v>Sí</v>
      </c>
      <c r="W68" s="141">
        <f t="shared" si="3"/>
        <v>5</v>
      </c>
      <c r="Y68" s="261" t="str">
        <f>IFERROR(VLOOKUP(C68,Tabla15[[Piloto]:[Puntos clase]],6, FALSE), " ")</f>
        <v xml:space="preserve"> </v>
      </c>
    </row>
    <row r="69" spans="2:26" ht="12.75" customHeight="1" thickBot="1" x14ac:dyDescent="0.35">
      <c r="B69" s="304">
        <v>4</v>
      </c>
      <c r="C69" s="305" t="s">
        <v>242</v>
      </c>
      <c r="D69" s="365">
        <v>2</v>
      </c>
      <c r="E69" s="306" t="s">
        <v>514</v>
      </c>
      <c r="F69" s="307">
        <v>2</v>
      </c>
      <c r="G69" s="307">
        <v>7</v>
      </c>
      <c r="H69" s="308">
        <v>18</v>
      </c>
      <c r="I69" s="307">
        <v>3</v>
      </c>
      <c r="J69" s="307">
        <v>5</v>
      </c>
      <c r="K69" s="308">
        <v>16</v>
      </c>
      <c r="L69" s="307">
        <v>1</v>
      </c>
      <c r="M69" s="307">
        <v>5</v>
      </c>
      <c r="N69" s="308">
        <v>18</v>
      </c>
      <c r="O69" s="307"/>
      <c r="P69" s="307"/>
      <c r="Q69" s="308"/>
      <c r="R69" s="307"/>
      <c r="S69" s="307"/>
      <c r="T69" s="308"/>
      <c r="U69" s="309">
        <v>52</v>
      </c>
      <c r="V69" s="140" t="str">
        <f t="shared" si="2"/>
        <v>Sí</v>
      </c>
      <c r="W69" s="141">
        <f t="shared" si="3"/>
        <v>3</v>
      </c>
      <c r="Y69" s="261" t="str">
        <f>IFERROR(VLOOKUP(C69,Tabla15[[Piloto]:[Puntos clase]],6, FALSE), " ")</f>
        <v xml:space="preserve"> </v>
      </c>
    </row>
    <row r="70" spans="2:26" ht="12.75" customHeight="1" thickBot="1" x14ac:dyDescent="0.35">
      <c r="B70" s="304">
        <v>1</v>
      </c>
      <c r="C70" s="360" t="s">
        <v>283</v>
      </c>
      <c r="D70" s="366">
        <v>4</v>
      </c>
      <c r="E70" s="363" t="s">
        <v>514</v>
      </c>
      <c r="F70" s="307">
        <v>0</v>
      </c>
      <c r="G70" s="307">
        <v>0</v>
      </c>
      <c r="H70" s="308">
        <v>0</v>
      </c>
      <c r="I70" s="307">
        <v>5</v>
      </c>
      <c r="J70" s="311">
        <v>6</v>
      </c>
      <c r="K70" s="308">
        <v>22</v>
      </c>
      <c r="L70" s="307" t="s">
        <v>515</v>
      </c>
      <c r="M70" s="307" t="s">
        <v>515</v>
      </c>
      <c r="N70" s="308"/>
      <c r="O70" s="307">
        <v>3</v>
      </c>
      <c r="P70" s="311">
        <v>6</v>
      </c>
      <c r="Q70" s="308">
        <v>18</v>
      </c>
      <c r="R70" s="307">
        <v>1</v>
      </c>
      <c r="S70" s="311">
        <v>6</v>
      </c>
      <c r="T70" s="308">
        <v>7</v>
      </c>
      <c r="U70" s="309">
        <v>47</v>
      </c>
      <c r="V70" s="140" t="str">
        <f t="shared" si="2"/>
        <v>Sí</v>
      </c>
      <c r="W70" s="141">
        <f t="shared" si="3"/>
        <v>4</v>
      </c>
      <c r="Y70" s="261" t="str">
        <f>IFERROR(VLOOKUP(C70,Tabla15[[Piloto]:[Puntos clase]],6, FALSE), " ")</f>
        <v>2RM</v>
      </c>
    </row>
    <row r="71" spans="2:26" ht="12.75" customHeight="1" x14ac:dyDescent="0.3">
      <c r="B71" s="304">
        <v>4</v>
      </c>
      <c r="C71" s="305" t="s">
        <v>238</v>
      </c>
      <c r="D71" s="321">
        <v>1</v>
      </c>
      <c r="E71" s="306">
        <v>4</v>
      </c>
      <c r="F71" s="307">
        <v>0</v>
      </c>
      <c r="G71" s="307">
        <v>0</v>
      </c>
      <c r="H71" s="308">
        <v>0</v>
      </c>
      <c r="I71" s="307">
        <v>0</v>
      </c>
      <c r="J71" s="307">
        <v>0</v>
      </c>
      <c r="K71" s="308">
        <v>0</v>
      </c>
      <c r="L71" s="307">
        <v>0</v>
      </c>
      <c r="M71" s="307">
        <v>0</v>
      </c>
      <c r="N71" s="308">
        <v>0</v>
      </c>
      <c r="O71" s="307">
        <v>14</v>
      </c>
      <c r="P71" s="307">
        <v>7</v>
      </c>
      <c r="Q71" s="308">
        <v>42</v>
      </c>
      <c r="R71" s="307">
        <v>0</v>
      </c>
      <c r="S71" s="307">
        <v>0</v>
      </c>
      <c r="T71" s="308">
        <v>0</v>
      </c>
      <c r="U71" s="309">
        <v>42</v>
      </c>
      <c r="V71" s="140" t="str">
        <f t="shared" si="2"/>
        <v>Sí</v>
      </c>
      <c r="W71" s="141">
        <f t="shared" si="3"/>
        <v>5</v>
      </c>
      <c r="Y71" s="261" t="str">
        <f>IFERROR(VLOOKUP(C71,Tabla15[[Piloto]:[Puntos clase]],6, FALSE), " ")</f>
        <v xml:space="preserve"> </v>
      </c>
    </row>
    <row r="72" spans="2:26" ht="12.75" customHeight="1" x14ac:dyDescent="0.3">
      <c r="B72" s="304">
        <v>2</v>
      </c>
      <c r="C72" s="305" t="s">
        <v>310</v>
      </c>
      <c r="D72" s="306">
        <v>4</v>
      </c>
      <c r="E72" s="306" t="s">
        <v>514</v>
      </c>
      <c r="F72" s="307">
        <v>0</v>
      </c>
      <c r="G72" s="307">
        <v>9</v>
      </c>
      <c r="H72" s="308">
        <v>18</v>
      </c>
      <c r="I72" s="307">
        <v>2</v>
      </c>
      <c r="J72" s="311">
        <v>4.5</v>
      </c>
      <c r="K72" s="308">
        <v>13</v>
      </c>
      <c r="L72" s="307" t="s">
        <v>515</v>
      </c>
      <c r="M72" s="307" t="s">
        <v>515</v>
      </c>
      <c r="N72" s="308"/>
      <c r="O72" s="307">
        <v>0</v>
      </c>
      <c r="P72" s="311">
        <v>4.5</v>
      </c>
      <c r="Q72" s="308">
        <v>9</v>
      </c>
      <c r="R72" s="307" t="s">
        <v>515</v>
      </c>
      <c r="S72" s="307" t="s">
        <v>515</v>
      </c>
      <c r="T72" s="308"/>
      <c r="U72" s="309">
        <v>40</v>
      </c>
      <c r="V72" s="140" t="str">
        <f t="shared" si="2"/>
        <v>Sí</v>
      </c>
      <c r="W72" s="141">
        <f t="shared" si="3"/>
        <v>3</v>
      </c>
      <c r="Y72" s="261" t="str">
        <f>IFERROR(VLOOKUP(C72,Tabla15[[Piloto]:[Puntos clase]],6, FALSE), " ")</f>
        <v xml:space="preserve"> </v>
      </c>
    </row>
    <row r="73" spans="2:26" ht="12.75" customHeight="1" x14ac:dyDescent="0.3">
      <c r="B73" s="304">
        <v>5</v>
      </c>
      <c r="C73" s="305" t="s">
        <v>234</v>
      </c>
      <c r="D73" s="306">
        <v>1</v>
      </c>
      <c r="E73" s="306">
        <v>4</v>
      </c>
      <c r="F73" s="307">
        <v>0</v>
      </c>
      <c r="G73" s="307">
        <v>0</v>
      </c>
      <c r="H73" s="308">
        <v>0</v>
      </c>
      <c r="I73" s="307"/>
      <c r="J73" s="307"/>
      <c r="K73" s="308"/>
      <c r="L73" s="307">
        <v>0</v>
      </c>
      <c r="M73" s="307">
        <v>0</v>
      </c>
      <c r="N73" s="308">
        <v>0</v>
      </c>
      <c r="O73" s="307">
        <v>12</v>
      </c>
      <c r="P73" s="307">
        <v>5</v>
      </c>
      <c r="Q73" s="308">
        <v>34</v>
      </c>
      <c r="R73" s="307" t="s">
        <v>515</v>
      </c>
      <c r="S73" s="307" t="s">
        <v>515</v>
      </c>
      <c r="T73" s="308"/>
      <c r="U73" s="309">
        <v>34</v>
      </c>
      <c r="V73" s="140" t="str">
        <f t="shared" si="2"/>
        <v>Sí</v>
      </c>
      <c r="W73" s="141">
        <f t="shared" si="3"/>
        <v>3</v>
      </c>
      <c r="Y73" s="261" t="str">
        <f>IFERROR(VLOOKUP(C73,Tabla15[[Piloto]:[Puntos clase]],6, FALSE), " ")</f>
        <v xml:space="preserve"> </v>
      </c>
    </row>
    <row r="74" spans="2:26" ht="12.75" customHeight="1" x14ac:dyDescent="0.3">
      <c r="B74" s="304">
        <v>4</v>
      </c>
      <c r="C74" s="305" t="s">
        <v>312</v>
      </c>
      <c r="D74" s="306">
        <v>3</v>
      </c>
      <c r="E74" s="306" t="s">
        <v>514</v>
      </c>
      <c r="F74" s="307">
        <v>0</v>
      </c>
      <c r="G74" s="307">
        <v>1</v>
      </c>
      <c r="H74" s="308">
        <v>2</v>
      </c>
      <c r="I74" s="307">
        <v>1</v>
      </c>
      <c r="J74" s="307">
        <v>3</v>
      </c>
      <c r="K74" s="308">
        <v>8</v>
      </c>
      <c r="L74" s="307">
        <v>0</v>
      </c>
      <c r="M74" s="307">
        <v>0</v>
      </c>
      <c r="N74" s="308">
        <v>0</v>
      </c>
      <c r="O74" s="307">
        <v>2</v>
      </c>
      <c r="P74" s="307">
        <v>9</v>
      </c>
      <c r="Q74" s="308">
        <v>22</v>
      </c>
      <c r="R74" s="307">
        <v>0</v>
      </c>
      <c r="S74" s="307">
        <v>1</v>
      </c>
      <c r="T74" s="308">
        <v>1</v>
      </c>
      <c r="U74" s="309">
        <v>33</v>
      </c>
      <c r="V74" s="140" t="str">
        <f t="shared" si="2"/>
        <v>Sí</v>
      </c>
      <c r="W74" s="141">
        <f t="shared" si="3"/>
        <v>5</v>
      </c>
      <c r="Y74" s="261" t="str">
        <f>IFERROR(VLOOKUP(C74,Tabla15[[Piloto]:[Puntos clase]],6, FALSE), " ")</f>
        <v xml:space="preserve"> </v>
      </c>
    </row>
    <row r="75" spans="2:26" ht="12.75" customHeight="1" thickBot="1" x14ac:dyDescent="0.35">
      <c r="B75" s="144"/>
      <c r="C75" s="145"/>
      <c r="D75" s="146"/>
      <c r="E75" s="146"/>
      <c r="F75" s="146"/>
      <c r="G75" s="146"/>
      <c r="H75" s="146"/>
      <c r="I75" s="146"/>
      <c r="J75" s="146"/>
      <c r="K75" s="146"/>
      <c r="L75" s="146"/>
      <c r="M75" s="146"/>
      <c r="N75" s="146"/>
      <c r="O75" s="146"/>
      <c r="P75" s="146"/>
      <c r="Q75" s="146"/>
      <c r="R75" s="146"/>
      <c r="S75" s="146"/>
      <c r="T75" s="146"/>
      <c r="U75" s="146"/>
      <c r="V75" s="143"/>
      <c r="W75" s="147"/>
      <c r="X75" s="148"/>
      <c r="Y75" s="262"/>
    </row>
    <row r="76" spans="2:26" ht="12.5" thickBot="1" x14ac:dyDescent="0.35">
      <c r="B76" s="144"/>
      <c r="C76" s="235"/>
      <c r="D76" s="366" t="s">
        <v>6</v>
      </c>
      <c r="E76" s="347" t="s">
        <v>480</v>
      </c>
      <c r="F76" s="146"/>
      <c r="G76" s="146"/>
      <c r="H76" s="146"/>
      <c r="I76" s="146"/>
      <c r="J76" s="146"/>
      <c r="K76" s="146"/>
      <c r="L76" s="146"/>
      <c r="M76" s="146"/>
      <c r="N76" s="146"/>
      <c r="O76" s="146"/>
      <c r="P76" s="146"/>
      <c r="Q76" s="146"/>
      <c r="R76" s="146"/>
      <c r="S76" s="146"/>
      <c r="T76" s="146"/>
      <c r="U76" s="146"/>
      <c r="V76" s="149"/>
      <c r="W76" s="147"/>
      <c r="X76" s="148"/>
      <c r="Y76" s="262"/>
    </row>
    <row r="77" spans="2:26" ht="3.75" customHeight="1" thickBot="1" x14ac:dyDescent="0.35">
      <c r="B77" s="1"/>
      <c r="C77" s="235"/>
      <c r="D77" s="146"/>
      <c r="E77" s="120"/>
      <c r="F77" s="2"/>
      <c r="G77" s="2"/>
      <c r="H77" s="3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5"/>
      <c r="Z77" s="2"/>
    </row>
    <row r="78" spans="2:26" ht="12.75" customHeight="1" thickBot="1" x14ac:dyDescent="0.35">
      <c r="B78" s="1"/>
      <c r="C78" s="235"/>
      <c r="D78" s="233">
        <v>2</v>
      </c>
      <c r="E78" s="347" t="s">
        <v>481</v>
      </c>
      <c r="F78" s="147"/>
      <c r="G78" s="147"/>
      <c r="H78" s="147"/>
      <c r="I78" s="147"/>
      <c r="J78" s="147"/>
      <c r="K78" s="147"/>
      <c r="L78" s="147"/>
      <c r="M78" s="147"/>
      <c r="N78" s="147"/>
      <c r="O78" s="147"/>
      <c r="P78" s="147"/>
      <c r="Q78" s="147"/>
      <c r="R78" s="147"/>
      <c r="S78" s="147"/>
      <c r="T78" s="147"/>
      <c r="U78" s="147"/>
      <c r="V78" s="147"/>
      <c r="W78" s="147"/>
      <c r="X78" s="148"/>
      <c r="Y78" s="262"/>
    </row>
    <row r="79" spans="2:26" ht="3.75" customHeight="1" x14ac:dyDescent="0.3">
      <c r="B79" s="1"/>
      <c r="C79" s="235"/>
      <c r="D79" s="146"/>
      <c r="E79" s="120"/>
      <c r="F79" s="2"/>
      <c r="G79" s="2"/>
      <c r="H79" s="3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5"/>
      <c r="Z79" s="2"/>
    </row>
    <row r="80" spans="2:26" ht="12.75" customHeight="1" x14ac:dyDescent="0.3">
      <c r="B80" s="1"/>
      <c r="C80" s="235"/>
      <c r="D80" s="311"/>
      <c r="E80" s="285" t="s">
        <v>462</v>
      </c>
      <c r="F80" s="147"/>
      <c r="G80" s="147"/>
      <c r="H80" s="147"/>
      <c r="I80" s="147"/>
      <c r="J80" s="147"/>
      <c r="K80" s="147"/>
      <c r="L80" s="147"/>
      <c r="M80" s="147"/>
      <c r="N80" s="147"/>
      <c r="O80" s="147"/>
      <c r="P80" s="147"/>
      <c r="Q80" s="147"/>
      <c r="R80" s="147"/>
      <c r="S80" s="147"/>
      <c r="T80" s="147"/>
      <c r="U80" s="147"/>
      <c r="V80" s="147"/>
      <c r="W80" s="147"/>
      <c r="X80" s="148"/>
      <c r="Y80" s="262"/>
    </row>
    <row r="81" spans="2:25" ht="3.75" customHeight="1" x14ac:dyDescent="0.3">
      <c r="B81" s="1"/>
      <c r="C81" s="235"/>
      <c r="D81" s="239"/>
      <c r="E81" s="120"/>
      <c r="F81" s="147"/>
      <c r="G81" s="147"/>
      <c r="H81" s="147"/>
      <c r="I81" s="147"/>
      <c r="J81" s="147"/>
      <c r="K81" s="147"/>
      <c r="L81" s="147"/>
      <c r="M81" s="147"/>
      <c r="N81" s="147"/>
      <c r="O81" s="147"/>
      <c r="P81" s="147"/>
      <c r="Q81" s="147"/>
      <c r="R81" s="147"/>
      <c r="S81" s="147"/>
      <c r="T81" s="147"/>
      <c r="U81" s="147"/>
      <c r="V81" s="147"/>
      <c r="W81" s="147"/>
      <c r="X81" s="148"/>
      <c r="Y81" s="262"/>
    </row>
    <row r="82" spans="2:25" ht="12" x14ac:dyDescent="0.3">
      <c r="B82" s="1"/>
      <c r="C82" s="235"/>
      <c r="D82" s="239"/>
      <c r="E82" s="120"/>
      <c r="F82" s="147"/>
      <c r="G82" s="147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147"/>
      <c r="S82" s="147"/>
      <c r="T82" s="147"/>
      <c r="U82" s="147"/>
      <c r="V82" s="147"/>
      <c r="W82" s="147"/>
      <c r="X82" s="148"/>
      <c r="Y82" s="262"/>
    </row>
    <row r="83" spans="2:25" x14ac:dyDescent="0.3">
      <c r="B83" s="301" t="s">
        <v>466</v>
      </c>
      <c r="C83" s="156"/>
      <c r="D83" s="2"/>
      <c r="E83" s="2"/>
      <c r="F83" s="2"/>
      <c r="G83" s="2"/>
      <c r="H83" s="3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147"/>
      <c r="W83" s="147"/>
      <c r="X83" s="148"/>
      <c r="Y83" s="262"/>
    </row>
    <row r="84" spans="2:25" ht="19.5" x14ac:dyDescent="0.3">
      <c r="B84" s="327"/>
      <c r="C84" s="330"/>
      <c r="D84" s="333"/>
      <c r="E84" s="333"/>
      <c r="F84" s="336" t="s">
        <v>220</v>
      </c>
      <c r="G84" s="337"/>
      <c r="H84" s="338"/>
      <c r="I84" s="336" t="s">
        <v>221</v>
      </c>
      <c r="J84" s="342"/>
      <c r="K84" s="343"/>
      <c r="L84" s="336" t="s">
        <v>390</v>
      </c>
      <c r="M84" s="342"/>
      <c r="N84" s="343"/>
      <c r="O84" s="336" t="s">
        <v>287</v>
      </c>
      <c r="P84" s="342"/>
      <c r="Q84" s="343"/>
      <c r="R84" s="336" t="s">
        <v>222</v>
      </c>
      <c r="S84" s="342"/>
      <c r="T84" s="343"/>
      <c r="U84" s="333" t="s">
        <v>213</v>
      </c>
      <c r="V84" s="147"/>
      <c r="W84" s="147"/>
      <c r="X84" s="148"/>
      <c r="Y84" s="262"/>
    </row>
    <row r="85" spans="2:25" ht="15.5" x14ac:dyDescent="0.3">
      <c r="B85" s="328" t="s">
        <v>0</v>
      </c>
      <c r="C85" s="331" t="s">
        <v>1</v>
      </c>
      <c r="D85" s="334" t="s">
        <v>2</v>
      </c>
      <c r="E85" s="334" t="s">
        <v>3</v>
      </c>
      <c r="F85" s="339" t="s">
        <v>288</v>
      </c>
      <c r="G85" s="340"/>
      <c r="H85" s="341"/>
      <c r="I85" s="339" t="s">
        <v>289</v>
      </c>
      <c r="J85" s="344"/>
      <c r="K85" s="345"/>
      <c r="L85" s="339" t="s">
        <v>290</v>
      </c>
      <c r="M85" s="344"/>
      <c r="N85" s="345"/>
      <c r="O85" s="339" t="s">
        <v>291</v>
      </c>
      <c r="P85" s="344"/>
      <c r="Q85" s="345"/>
      <c r="R85" s="339" t="s">
        <v>292</v>
      </c>
      <c r="S85" s="344"/>
      <c r="T85" s="345"/>
      <c r="U85" s="334" t="s">
        <v>9</v>
      </c>
      <c r="V85" s="147"/>
      <c r="W85" s="147"/>
      <c r="X85" s="148"/>
      <c r="Y85" s="262"/>
    </row>
    <row r="86" spans="2:25" ht="13" x14ac:dyDescent="0.3">
      <c r="B86" s="329"/>
      <c r="C86" s="332"/>
      <c r="D86" s="335"/>
      <c r="E86" s="335"/>
      <c r="F86" s="325" t="s">
        <v>33</v>
      </c>
      <c r="G86" s="325" t="s">
        <v>34</v>
      </c>
      <c r="H86" s="326" t="s">
        <v>35</v>
      </c>
      <c r="I86" s="325" t="s">
        <v>33</v>
      </c>
      <c r="J86" s="325" t="s">
        <v>34</v>
      </c>
      <c r="K86" s="326" t="s">
        <v>35</v>
      </c>
      <c r="L86" s="325" t="s">
        <v>33</v>
      </c>
      <c r="M86" s="325" t="s">
        <v>34</v>
      </c>
      <c r="N86" s="326" t="s">
        <v>35</v>
      </c>
      <c r="O86" s="325" t="s">
        <v>33</v>
      </c>
      <c r="P86" s="325" t="s">
        <v>34</v>
      </c>
      <c r="Q86" s="326" t="s">
        <v>35</v>
      </c>
      <c r="R86" s="325" t="s">
        <v>33</v>
      </c>
      <c r="S86" s="325" t="s">
        <v>34</v>
      </c>
      <c r="T86" s="326" t="s">
        <v>35</v>
      </c>
      <c r="U86" s="335"/>
      <c r="V86" s="147"/>
      <c r="W86" s="147"/>
      <c r="X86" s="148"/>
      <c r="Y86" s="262"/>
    </row>
    <row r="87" spans="2:25" ht="12" x14ac:dyDescent="0.3">
      <c r="B87" s="346"/>
      <c r="C87" s="320" t="s">
        <v>365</v>
      </c>
      <c r="D87" s="321">
        <v>1</v>
      </c>
      <c r="E87" s="321">
        <v>4</v>
      </c>
      <c r="F87" s="322"/>
      <c r="G87" s="322"/>
      <c r="H87" s="323"/>
      <c r="I87" s="322"/>
      <c r="J87" s="322"/>
      <c r="K87" s="323"/>
      <c r="L87" s="322">
        <v>12</v>
      </c>
      <c r="M87" s="322">
        <v>5</v>
      </c>
      <c r="N87" s="323">
        <v>51</v>
      </c>
      <c r="O87" s="322" t="s">
        <v>515</v>
      </c>
      <c r="P87" s="322" t="s">
        <v>515</v>
      </c>
      <c r="Q87" s="323"/>
      <c r="R87" s="322" t="s">
        <v>515</v>
      </c>
      <c r="S87" s="322" t="s">
        <v>515</v>
      </c>
      <c r="T87" s="323"/>
      <c r="U87" s="324">
        <v>51</v>
      </c>
      <c r="V87" s="147"/>
      <c r="W87" s="147"/>
      <c r="X87" s="148"/>
      <c r="Y87" s="262"/>
    </row>
    <row r="88" spans="2:25" ht="12" x14ac:dyDescent="0.3">
      <c r="B88" s="312"/>
      <c r="C88" s="310" t="s">
        <v>281</v>
      </c>
      <c r="D88" s="306">
        <v>1</v>
      </c>
      <c r="E88" s="306" t="s">
        <v>513</v>
      </c>
      <c r="F88" s="307">
        <v>14</v>
      </c>
      <c r="G88" s="307">
        <v>7</v>
      </c>
      <c r="H88" s="308">
        <v>42</v>
      </c>
      <c r="I88" s="307"/>
      <c r="J88" s="307"/>
      <c r="K88" s="308"/>
      <c r="L88" s="307" t="s">
        <v>515</v>
      </c>
      <c r="M88" s="307" t="s">
        <v>515</v>
      </c>
      <c r="N88" s="308"/>
      <c r="O88" s="307" t="s">
        <v>515</v>
      </c>
      <c r="P88" s="307" t="s">
        <v>515</v>
      </c>
      <c r="Q88" s="308"/>
      <c r="R88" s="307" t="s">
        <v>515</v>
      </c>
      <c r="S88" s="307" t="s">
        <v>515</v>
      </c>
      <c r="T88" s="308"/>
      <c r="U88" s="309">
        <v>42</v>
      </c>
      <c r="V88" s="147"/>
      <c r="W88" s="147"/>
      <c r="X88" s="148"/>
      <c r="Y88" s="262"/>
    </row>
    <row r="89" spans="2:25" ht="12" x14ac:dyDescent="0.3">
      <c r="B89" s="312"/>
      <c r="C89" s="305" t="s">
        <v>366</v>
      </c>
      <c r="D89" s="306">
        <v>3</v>
      </c>
      <c r="E89" s="306">
        <v>2</v>
      </c>
      <c r="F89" s="307"/>
      <c r="G89" s="307"/>
      <c r="H89" s="308"/>
      <c r="I89" s="307"/>
      <c r="J89" s="307"/>
      <c r="K89" s="308"/>
      <c r="L89" s="307">
        <v>2</v>
      </c>
      <c r="M89" s="307">
        <v>7</v>
      </c>
      <c r="N89" s="308">
        <v>27</v>
      </c>
      <c r="O89" s="307" t="s">
        <v>515</v>
      </c>
      <c r="P89" s="307" t="s">
        <v>515</v>
      </c>
      <c r="Q89" s="308"/>
      <c r="R89" s="307">
        <v>4</v>
      </c>
      <c r="S89" s="307">
        <v>5</v>
      </c>
      <c r="T89" s="308">
        <v>9</v>
      </c>
      <c r="U89" s="309">
        <v>36</v>
      </c>
      <c r="V89" s="147"/>
      <c r="W89" s="147"/>
      <c r="X89" s="148"/>
      <c r="Y89" s="262"/>
    </row>
    <row r="90" spans="2:25" ht="12" x14ac:dyDescent="0.3">
      <c r="B90" s="312"/>
      <c r="C90" s="305" t="s">
        <v>212</v>
      </c>
      <c r="D90" s="306">
        <v>4</v>
      </c>
      <c r="E90" s="306" t="s">
        <v>514</v>
      </c>
      <c r="F90" s="307">
        <v>5</v>
      </c>
      <c r="G90" s="307">
        <v>12</v>
      </c>
      <c r="H90" s="308">
        <v>34</v>
      </c>
      <c r="I90" s="307"/>
      <c r="J90" s="307"/>
      <c r="K90" s="308"/>
      <c r="L90" s="307"/>
      <c r="M90" s="307"/>
      <c r="N90" s="308"/>
      <c r="O90" s="307" t="s">
        <v>515</v>
      </c>
      <c r="P90" s="307" t="s">
        <v>515</v>
      </c>
      <c r="Q90" s="308"/>
      <c r="R90" s="307"/>
      <c r="S90" s="307"/>
      <c r="T90" s="308"/>
      <c r="U90" s="309">
        <v>34</v>
      </c>
      <c r="V90" s="147"/>
      <c r="W90" s="147"/>
      <c r="X90" s="148"/>
      <c r="Y90" s="262"/>
    </row>
    <row r="91" spans="2:25" ht="12" x14ac:dyDescent="0.3">
      <c r="B91" s="312"/>
      <c r="C91" s="305" t="s">
        <v>246</v>
      </c>
      <c r="D91" s="306">
        <v>5</v>
      </c>
      <c r="E91" s="306" t="s">
        <v>514</v>
      </c>
      <c r="F91" s="307">
        <v>1</v>
      </c>
      <c r="G91" s="307">
        <v>7</v>
      </c>
      <c r="H91" s="308">
        <v>16</v>
      </c>
      <c r="I91" s="307">
        <v>0</v>
      </c>
      <c r="J91" s="307">
        <v>7</v>
      </c>
      <c r="K91" s="308">
        <v>14</v>
      </c>
      <c r="L91" s="307"/>
      <c r="M91" s="307"/>
      <c r="N91" s="308"/>
      <c r="O91" s="307" t="s">
        <v>515</v>
      </c>
      <c r="P91" s="307" t="s">
        <v>515</v>
      </c>
      <c r="Q91" s="308"/>
      <c r="R91" s="307" t="s">
        <v>515</v>
      </c>
      <c r="S91" s="307" t="s">
        <v>515</v>
      </c>
      <c r="T91" s="308"/>
      <c r="U91" s="309">
        <v>30</v>
      </c>
      <c r="V91" s="147"/>
      <c r="W91" s="147"/>
      <c r="X91" s="148"/>
      <c r="Y91" s="262"/>
    </row>
    <row r="92" spans="2:25" ht="12" x14ac:dyDescent="0.3">
      <c r="B92" s="312"/>
      <c r="C92" s="305" t="s">
        <v>252</v>
      </c>
      <c r="D92" s="306">
        <v>5</v>
      </c>
      <c r="E92" s="306">
        <v>2</v>
      </c>
      <c r="F92" s="307"/>
      <c r="G92" s="307"/>
      <c r="H92" s="308"/>
      <c r="I92" s="307"/>
      <c r="J92" s="307"/>
      <c r="K92" s="308"/>
      <c r="L92" s="307">
        <v>0</v>
      </c>
      <c r="M92" s="307">
        <v>7</v>
      </c>
      <c r="N92" s="308">
        <v>21</v>
      </c>
      <c r="O92" s="307">
        <v>0</v>
      </c>
      <c r="P92" s="307">
        <v>3</v>
      </c>
      <c r="Q92" s="308">
        <v>6</v>
      </c>
      <c r="R92" s="307" t="s">
        <v>515</v>
      </c>
      <c r="S92" s="307" t="s">
        <v>515</v>
      </c>
      <c r="T92" s="308"/>
      <c r="U92" s="309">
        <v>27</v>
      </c>
      <c r="V92" s="147"/>
      <c r="W92" s="147"/>
      <c r="X92" s="148"/>
      <c r="Y92" s="262"/>
    </row>
    <row r="93" spans="2:25" ht="12" x14ac:dyDescent="0.3">
      <c r="B93" s="312"/>
      <c r="C93" s="305" t="s">
        <v>245</v>
      </c>
      <c r="D93" s="306">
        <v>3</v>
      </c>
      <c r="E93" s="306" t="s">
        <v>514</v>
      </c>
      <c r="F93" s="307">
        <v>4</v>
      </c>
      <c r="G93" s="307">
        <v>9</v>
      </c>
      <c r="H93" s="308">
        <v>26</v>
      </c>
      <c r="I93" s="307"/>
      <c r="J93" s="307"/>
      <c r="K93" s="308"/>
      <c r="L93" s="307">
        <v>0</v>
      </c>
      <c r="M93" s="307">
        <v>0</v>
      </c>
      <c r="N93" s="308">
        <v>0</v>
      </c>
      <c r="O93" s="307" t="s">
        <v>515</v>
      </c>
      <c r="P93" s="307" t="s">
        <v>515</v>
      </c>
      <c r="Q93" s="308"/>
      <c r="R93" s="307" t="s">
        <v>515</v>
      </c>
      <c r="S93" s="307" t="s">
        <v>515</v>
      </c>
      <c r="T93" s="308"/>
      <c r="U93" s="309">
        <v>26</v>
      </c>
      <c r="V93" s="147"/>
      <c r="W93" s="147"/>
      <c r="X93" s="148"/>
      <c r="Y93" s="262"/>
    </row>
    <row r="94" spans="2:25" ht="12" x14ac:dyDescent="0.3">
      <c r="B94" s="312"/>
      <c r="C94" s="305" t="s">
        <v>367</v>
      </c>
      <c r="D94" s="306">
        <v>5</v>
      </c>
      <c r="E94" s="306">
        <v>2</v>
      </c>
      <c r="F94" s="307"/>
      <c r="G94" s="307"/>
      <c r="H94" s="308"/>
      <c r="I94" s="307"/>
      <c r="J94" s="307"/>
      <c r="K94" s="308"/>
      <c r="L94" s="307">
        <v>0</v>
      </c>
      <c r="M94" s="307">
        <v>5</v>
      </c>
      <c r="N94" s="308">
        <v>15</v>
      </c>
      <c r="O94" s="307">
        <v>0</v>
      </c>
      <c r="P94" s="307">
        <v>5</v>
      </c>
      <c r="Q94" s="308">
        <v>10</v>
      </c>
      <c r="R94" s="307" t="s">
        <v>515</v>
      </c>
      <c r="S94" s="307" t="s">
        <v>515</v>
      </c>
      <c r="T94" s="308"/>
      <c r="U94" s="309">
        <v>25</v>
      </c>
      <c r="V94" s="147"/>
      <c r="W94" s="147"/>
      <c r="X94" s="148"/>
      <c r="Y94" s="262"/>
    </row>
    <row r="95" spans="2:25" ht="12" x14ac:dyDescent="0.3">
      <c r="B95" s="312"/>
      <c r="C95" s="305" t="s">
        <v>246</v>
      </c>
      <c r="D95" s="306">
        <v>2</v>
      </c>
      <c r="E95" s="306">
        <v>2</v>
      </c>
      <c r="F95" s="307"/>
      <c r="G95" s="307"/>
      <c r="H95" s="308"/>
      <c r="I95" s="307"/>
      <c r="J95" s="307"/>
      <c r="K95" s="308"/>
      <c r="L95" s="307">
        <v>0</v>
      </c>
      <c r="M95" s="307">
        <v>7</v>
      </c>
      <c r="N95" s="308">
        <v>21</v>
      </c>
      <c r="O95" s="307" t="s">
        <v>515</v>
      </c>
      <c r="P95" s="307" t="s">
        <v>515</v>
      </c>
      <c r="Q95" s="308"/>
      <c r="R95" s="307" t="s">
        <v>515</v>
      </c>
      <c r="S95" s="307" t="s">
        <v>515</v>
      </c>
      <c r="T95" s="308"/>
      <c r="U95" s="309">
        <v>21</v>
      </c>
      <c r="V95" s="147"/>
      <c r="W95" s="147"/>
      <c r="X95" s="148"/>
      <c r="Y95" s="262"/>
    </row>
    <row r="96" spans="2:25" ht="12" x14ac:dyDescent="0.3">
      <c r="B96" s="312"/>
      <c r="C96" s="305" t="s">
        <v>285</v>
      </c>
      <c r="D96" s="306">
        <v>3</v>
      </c>
      <c r="E96" s="306">
        <v>2</v>
      </c>
      <c r="F96" s="307"/>
      <c r="G96" s="307"/>
      <c r="H96" s="308"/>
      <c r="I96" s="307"/>
      <c r="J96" s="307"/>
      <c r="K96" s="308"/>
      <c r="L96" s="307"/>
      <c r="M96" s="307"/>
      <c r="N96" s="308"/>
      <c r="O96" s="307"/>
      <c r="P96" s="307"/>
      <c r="Q96" s="308"/>
      <c r="R96" s="307">
        <v>8</v>
      </c>
      <c r="S96" s="307">
        <v>12</v>
      </c>
      <c r="T96" s="308">
        <v>20</v>
      </c>
      <c r="U96" s="309">
        <v>20</v>
      </c>
      <c r="V96" s="147"/>
      <c r="W96" s="147"/>
      <c r="X96" s="148"/>
      <c r="Y96" s="262"/>
    </row>
    <row r="97" spans="2:25" ht="12" x14ac:dyDescent="0.3">
      <c r="B97" s="312"/>
      <c r="C97" s="305" t="s">
        <v>174</v>
      </c>
      <c r="D97" s="306">
        <v>1</v>
      </c>
      <c r="E97" s="306">
        <v>4</v>
      </c>
      <c r="F97" s="307">
        <v>0</v>
      </c>
      <c r="G97" s="307">
        <v>0</v>
      </c>
      <c r="H97" s="308">
        <v>0</v>
      </c>
      <c r="I97" s="307"/>
      <c r="J97" s="307"/>
      <c r="K97" s="308"/>
      <c r="L97" s="307" t="s">
        <v>515</v>
      </c>
      <c r="M97" s="307" t="s">
        <v>515</v>
      </c>
      <c r="N97" s="308"/>
      <c r="O97" s="307">
        <v>5</v>
      </c>
      <c r="P97" s="307">
        <v>3</v>
      </c>
      <c r="Q97" s="308">
        <v>16</v>
      </c>
      <c r="R97" s="307" t="s">
        <v>515</v>
      </c>
      <c r="S97" s="307" t="s">
        <v>515</v>
      </c>
      <c r="T97" s="308"/>
      <c r="U97" s="309">
        <v>16</v>
      </c>
      <c r="V97" s="147"/>
      <c r="W97" s="147"/>
      <c r="X97" s="148"/>
      <c r="Y97" s="262"/>
    </row>
    <row r="98" spans="2:25" ht="12" x14ac:dyDescent="0.3">
      <c r="B98" s="312"/>
      <c r="C98" s="310" t="s">
        <v>319</v>
      </c>
      <c r="D98" s="306">
        <v>3</v>
      </c>
      <c r="E98" s="306">
        <v>2</v>
      </c>
      <c r="F98" s="307">
        <v>0</v>
      </c>
      <c r="G98" s="307">
        <v>0</v>
      </c>
      <c r="H98" s="308">
        <v>0</v>
      </c>
      <c r="I98" s="307"/>
      <c r="J98" s="307"/>
      <c r="K98" s="308"/>
      <c r="L98" s="307" t="s">
        <v>515</v>
      </c>
      <c r="M98" s="307" t="s">
        <v>515</v>
      </c>
      <c r="N98" s="308"/>
      <c r="O98" s="307">
        <v>0</v>
      </c>
      <c r="P98" s="307">
        <v>7</v>
      </c>
      <c r="Q98" s="308">
        <v>14</v>
      </c>
      <c r="R98" s="307" t="s">
        <v>515</v>
      </c>
      <c r="S98" s="307" t="s">
        <v>515</v>
      </c>
      <c r="T98" s="308"/>
      <c r="U98" s="309">
        <v>14</v>
      </c>
      <c r="V98" s="147"/>
      <c r="W98" s="147"/>
      <c r="X98" s="148"/>
      <c r="Y98" s="262"/>
    </row>
    <row r="99" spans="2:25" ht="12" x14ac:dyDescent="0.3">
      <c r="B99" s="312"/>
      <c r="C99" s="305" t="s">
        <v>252</v>
      </c>
      <c r="D99" s="306">
        <v>3</v>
      </c>
      <c r="E99" s="306">
        <v>2</v>
      </c>
      <c r="F99" s="307">
        <v>0</v>
      </c>
      <c r="G99" s="307">
        <v>5</v>
      </c>
      <c r="H99" s="308">
        <v>10</v>
      </c>
      <c r="I99" s="307"/>
      <c r="J99" s="307"/>
      <c r="K99" s="308"/>
      <c r="L99" s="307"/>
      <c r="M99" s="307"/>
      <c r="N99" s="308"/>
      <c r="O99" s="307"/>
      <c r="P99" s="307"/>
      <c r="Q99" s="308"/>
      <c r="R99" s="307" t="s">
        <v>515</v>
      </c>
      <c r="S99" s="307" t="s">
        <v>515</v>
      </c>
      <c r="T99" s="308"/>
      <c r="U99" s="309">
        <v>10</v>
      </c>
      <c r="V99" s="147"/>
      <c r="W99" s="147"/>
      <c r="X99" s="148"/>
      <c r="Y99" s="262"/>
    </row>
    <row r="100" spans="2:25" ht="12" x14ac:dyDescent="0.3">
      <c r="B100" s="312"/>
      <c r="C100" s="310" t="s">
        <v>300</v>
      </c>
      <c r="D100" s="306">
        <v>2</v>
      </c>
      <c r="E100" s="306">
        <v>2</v>
      </c>
      <c r="F100" s="307">
        <v>0</v>
      </c>
      <c r="G100" s="307">
        <v>5</v>
      </c>
      <c r="H100" s="308">
        <v>10</v>
      </c>
      <c r="I100" s="307"/>
      <c r="J100" s="307"/>
      <c r="K100" s="308"/>
      <c r="L100" s="307" t="s">
        <v>515</v>
      </c>
      <c r="M100" s="307" t="s">
        <v>515</v>
      </c>
      <c r="N100" s="308"/>
      <c r="O100" s="307">
        <v>0</v>
      </c>
      <c r="P100" s="307">
        <v>0</v>
      </c>
      <c r="Q100" s="308">
        <v>0</v>
      </c>
      <c r="R100" s="307" t="s">
        <v>515</v>
      </c>
      <c r="S100" s="307" t="s">
        <v>515</v>
      </c>
      <c r="T100" s="308"/>
      <c r="U100" s="309">
        <v>10</v>
      </c>
      <c r="V100" s="147"/>
      <c r="W100" s="147"/>
      <c r="X100" s="148"/>
      <c r="Y100" s="262"/>
    </row>
    <row r="101" spans="2:25" ht="12" x14ac:dyDescent="0.3">
      <c r="B101" s="312"/>
      <c r="C101" s="305" t="s">
        <v>370</v>
      </c>
      <c r="D101" s="306">
        <v>5</v>
      </c>
      <c r="E101" s="306">
        <v>2</v>
      </c>
      <c r="F101" s="307"/>
      <c r="G101" s="307"/>
      <c r="H101" s="308"/>
      <c r="I101" s="307"/>
      <c r="J101" s="307"/>
      <c r="K101" s="308"/>
      <c r="L101" s="307">
        <v>0</v>
      </c>
      <c r="M101" s="307">
        <v>0</v>
      </c>
      <c r="N101" s="308">
        <v>0</v>
      </c>
      <c r="O101" s="307" t="s">
        <v>515</v>
      </c>
      <c r="P101" s="307" t="s">
        <v>515</v>
      </c>
      <c r="Q101" s="308"/>
      <c r="R101" s="307">
        <v>0</v>
      </c>
      <c r="S101" s="307">
        <v>9</v>
      </c>
      <c r="T101" s="308">
        <v>9</v>
      </c>
      <c r="U101" s="309">
        <v>9</v>
      </c>
      <c r="V101" s="147"/>
      <c r="W101" s="147"/>
      <c r="X101" s="148"/>
      <c r="Y101" s="262"/>
    </row>
    <row r="102" spans="2:25" ht="12" x14ac:dyDescent="0.3">
      <c r="B102" s="312"/>
      <c r="C102" s="305" t="s">
        <v>275</v>
      </c>
      <c r="D102" s="306">
        <v>3</v>
      </c>
      <c r="E102" s="306">
        <v>2</v>
      </c>
      <c r="F102" s="307">
        <v>0</v>
      </c>
      <c r="G102" s="307">
        <v>3</v>
      </c>
      <c r="H102" s="308">
        <v>6</v>
      </c>
      <c r="I102" s="307">
        <v>0</v>
      </c>
      <c r="J102" s="307">
        <v>1</v>
      </c>
      <c r="K102" s="308">
        <v>2</v>
      </c>
      <c r="L102" s="307" t="s">
        <v>515</v>
      </c>
      <c r="M102" s="307" t="s">
        <v>515</v>
      </c>
      <c r="N102" s="308"/>
      <c r="O102" s="307" t="s">
        <v>515</v>
      </c>
      <c r="P102" s="307" t="s">
        <v>515</v>
      </c>
      <c r="Q102" s="308"/>
      <c r="R102" s="307"/>
      <c r="S102" s="307"/>
      <c r="T102" s="308"/>
      <c r="U102" s="309">
        <v>8</v>
      </c>
      <c r="V102" s="147"/>
      <c r="W102" s="147"/>
      <c r="X102" s="148"/>
      <c r="Y102" s="262"/>
    </row>
    <row r="103" spans="2:25" ht="12" x14ac:dyDescent="0.3">
      <c r="B103" s="312"/>
      <c r="C103" s="305" t="s">
        <v>275</v>
      </c>
      <c r="D103" s="306">
        <v>5</v>
      </c>
      <c r="E103" s="306"/>
      <c r="F103" s="307"/>
      <c r="G103" s="307"/>
      <c r="H103" s="308"/>
      <c r="I103" s="307"/>
      <c r="J103" s="307"/>
      <c r="K103" s="308"/>
      <c r="L103" s="307"/>
      <c r="M103" s="307"/>
      <c r="N103" s="308"/>
      <c r="O103" s="307"/>
      <c r="P103" s="307"/>
      <c r="Q103" s="308"/>
      <c r="R103" s="307">
        <v>0</v>
      </c>
      <c r="S103" s="307">
        <v>7</v>
      </c>
      <c r="T103" s="308">
        <v>7</v>
      </c>
      <c r="U103" s="309">
        <v>7</v>
      </c>
      <c r="V103" s="147"/>
      <c r="W103" s="147"/>
      <c r="X103" s="148"/>
      <c r="Y103" s="262"/>
    </row>
    <row r="104" spans="2:25" ht="12" x14ac:dyDescent="0.3">
      <c r="B104" s="312"/>
      <c r="C104" s="305" t="s">
        <v>242</v>
      </c>
      <c r="D104" s="306">
        <v>3</v>
      </c>
      <c r="E104" s="306">
        <v>2</v>
      </c>
      <c r="F104" s="307"/>
      <c r="G104" s="307"/>
      <c r="H104" s="308"/>
      <c r="I104" s="307"/>
      <c r="J104" s="307"/>
      <c r="K104" s="308"/>
      <c r="L104" s="307"/>
      <c r="M104" s="307"/>
      <c r="N104" s="308"/>
      <c r="O104" s="307">
        <v>0</v>
      </c>
      <c r="P104" s="307">
        <v>0</v>
      </c>
      <c r="Q104" s="308">
        <v>0</v>
      </c>
      <c r="R104" s="307">
        <v>2</v>
      </c>
      <c r="S104" s="307">
        <v>3</v>
      </c>
      <c r="T104" s="308">
        <v>5</v>
      </c>
      <c r="U104" s="309">
        <v>5</v>
      </c>
      <c r="V104" s="147"/>
      <c r="W104" s="147"/>
      <c r="X104" s="148"/>
      <c r="Y104" s="262"/>
    </row>
    <row r="105" spans="2:25" ht="12" x14ac:dyDescent="0.3">
      <c r="B105" s="312"/>
      <c r="C105" s="305" t="s">
        <v>317</v>
      </c>
      <c r="D105" s="306">
        <v>3</v>
      </c>
      <c r="E105" s="306">
        <v>2</v>
      </c>
      <c r="F105" s="307">
        <v>0</v>
      </c>
      <c r="G105" s="307">
        <v>0</v>
      </c>
      <c r="H105" s="308">
        <v>0</v>
      </c>
      <c r="I105" s="307"/>
      <c r="J105" s="307"/>
      <c r="K105" s="308"/>
      <c r="L105" s="307" t="s">
        <v>515</v>
      </c>
      <c r="M105" s="307" t="s">
        <v>515</v>
      </c>
      <c r="N105" s="308"/>
      <c r="O105" s="307" t="s">
        <v>515</v>
      </c>
      <c r="P105" s="307" t="s">
        <v>515</v>
      </c>
      <c r="Q105" s="308"/>
      <c r="R105" s="307" t="s">
        <v>515</v>
      </c>
      <c r="S105" s="307" t="s">
        <v>515</v>
      </c>
      <c r="T105" s="308"/>
      <c r="U105" s="309">
        <v>0</v>
      </c>
      <c r="V105" s="147"/>
      <c r="W105" s="147"/>
      <c r="X105" s="148"/>
      <c r="Y105" s="262"/>
    </row>
    <row r="106" spans="2:25" ht="12" x14ac:dyDescent="0.3">
      <c r="B106" s="312"/>
      <c r="C106" s="305" t="s">
        <v>339</v>
      </c>
      <c r="D106" s="306">
        <v>3</v>
      </c>
      <c r="E106" s="306">
        <v>2</v>
      </c>
      <c r="F106" s="307">
        <v>0</v>
      </c>
      <c r="G106" s="307">
        <v>0</v>
      </c>
      <c r="H106" s="308">
        <v>0</v>
      </c>
      <c r="I106" s="307"/>
      <c r="J106" s="307"/>
      <c r="K106" s="308"/>
      <c r="L106" s="307" t="s">
        <v>515</v>
      </c>
      <c r="M106" s="307" t="s">
        <v>515</v>
      </c>
      <c r="N106" s="308"/>
      <c r="O106" s="307" t="s">
        <v>515</v>
      </c>
      <c r="P106" s="307" t="s">
        <v>515</v>
      </c>
      <c r="Q106" s="308"/>
      <c r="R106" s="307" t="s">
        <v>515</v>
      </c>
      <c r="S106" s="307" t="s">
        <v>515</v>
      </c>
      <c r="T106" s="308"/>
      <c r="U106" s="309">
        <v>0</v>
      </c>
      <c r="V106" s="147"/>
      <c r="W106" s="147"/>
      <c r="X106" s="148"/>
      <c r="Y106" s="262"/>
    </row>
    <row r="107" spans="2:25" ht="12" x14ac:dyDescent="0.3">
      <c r="B107" s="312"/>
      <c r="C107" s="305" t="s">
        <v>369</v>
      </c>
      <c r="D107" s="306">
        <v>1</v>
      </c>
      <c r="E107" s="306">
        <v>4</v>
      </c>
      <c r="F107" s="307"/>
      <c r="G107" s="307"/>
      <c r="H107" s="308"/>
      <c r="I107" s="307"/>
      <c r="J107" s="307"/>
      <c r="K107" s="308"/>
      <c r="L107" s="307">
        <v>0</v>
      </c>
      <c r="M107" s="307">
        <v>0</v>
      </c>
      <c r="N107" s="308">
        <v>0</v>
      </c>
      <c r="O107" s="307">
        <v>0</v>
      </c>
      <c r="P107" s="307">
        <v>0</v>
      </c>
      <c r="Q107" s="308">
        <v>0</v>
      </c>
      <c r="R107" s="307" t="s">
        <v>515</v>
      </c>
      <c r="S107" s="307" t="s">
        <v>515</v>
      </c>
      <c r="T107" s="308"/>
      <c r="U107" s="309">
        <v>0</v>
      </c>
      <c r="V107" s="147"/>
      <c r="W107" s="147"/>
      <c r="X107" s="148"/>
      <c r="Y107" s="262"/>
    </row>
    <row r="108" spans="2:25" ht="12" x14ac:dyDescent="0.3">
      <c r="B108" s="1"/>
      <c r="C108" s="235"/>
      <c r="D108" s="239"/>
      <c r="E108" s="120"/>
      <c r="F108" s="147"/>
      <c r="G108" s="147"/>
      <c r="H108" s="147"/>
      <c r="I108" s="147"/>
      <c r="J108" s="147"/>
      <c r="K108" s="147"/>
      <c r="L108" s="147"/>
      <c r="M108" s="147"/>
      <c r="N108" s="147"/>
      <c r="O108" s="147"/>
      <c r="P108" s="147"/>
      <c r="Q108" s="147"/>
      <c r="R108" s="147"/>
      <c r="S108" s="147"/>
      <c r="T108" s="147"/>
      <c r="U108" s="147"/>
      <c r="V108" s="147"/>
      <c r="W108" s="147"/>
      <c r="X108" s="148"/>
      <c r="Y108" s="262"/>
    </row>
    <row r="109" spans="2:25" ht="13.5" customHeight="1" x14ac:dyDescent="0.3">
      <c r="B109" s="1"/>
      <c r="C109" s="236" t="s">
        <v>510</v>
      </c>
      <c r="D109" s="237" t="s">
        <v>467</v>
      </c>
      <c r="E109" s="155"/>
      <c r="F109" s="147"/>
      <c r="G109" s="147"/>
      <c r="H109" s="147"/>
      <c r="I109" s="147"/>
      <c r="J109" s="147"/>
      <c r="K109" s="147"/>
      <c r="L109" s="147"/>
      <c r="M109" s="147"/>
      <c r="N109" s="147"/>
      <c r="O109" s="147"/>
      <c r="P109" s="147"/>
      <c r="Q109" s="147"/>
      <c r="R109" s="147"/>
      <c r="S109" s="147"/>
      <c r="T109" s="147"/>
      <c r="U109" s="147"/>
      <c r="V109" s="147"/>
      <c r="W109" s="147"/>
      <c r="X109" s="148"/>
      <c r="Y109" s="262"/>
    </row>
    <row r="110" spans="2:25" ht="13.5" customHeight="1" x14ac:dyDescent="0.3">
      <c r="B110" s="1"/>
      <c r="C110" s="236"/>
      <c r="D110" s="155"/>
      <c r="E110" s="155"/>
      <c r="F110" s="147"/>
      <c r="G110" s="147"/>
      <c r="H110" s="147"/>
      <c r="I110" s="147"/>
      <c r="J110" s="147"/>
      <c r="K110" s="147"/>
      <c r="L110" s="147"/>
      <c r="M110" s="147"/>
      <c r="N110" s="147"/>
      <c r="O110" s="147"/>
      <c r="P110" s="147"/>
      <c r="Q110" s="147"/>
      <c r="R110" s="147"/>
      <c r="S110" s="147"/>
      <c r="T110" s="147"/>
      <c r="U110" s="147"/>
      <c r="V110" s="147"/>
      <c r="W110" s="147"/>
      <c r="X110" s="148"/>
      <c r="Y110" s="262"/>
    </row>
    <row r="111" spans="2:25" ht="39" customHeight="1" x14ac:dyDescent="0.55000000000000004">
      <c r="B111" s="164" t="s">
        <v>286</v>
      </c>
      <c r="C111" s="165"/>
      <c r="D111" s="165"/>
      <c r="E111" s="165"/>
      <c r="F111" s="165"/>
      <c r="G111" s="165"/>
      <c r="H111" s="165"/>
      <c r="I111" s="165"/>
      <c r="J111" s="165"/>
      <c r="K111" s="165"/>
      <c r="L111" s="165"/>
      <c r="M111" s="165"/>
      <c r="N111" s="165"/>
      <c r="O111" s="165"/>
      <c r="P111" s="165"/>
      <c r="Q111" s="165"/>
      <c r="R111" s="165"/>
      <c r="S111" s="165"/>
      <c r="T111" s="165"/>
      <c r="U111" s="165"/>
    </row>
    <row r="112" spans="2:25" ht="37.5" customHeight="1" x14ac:dyDescent="0.3">
      <c r="B112" s="302" t="s">
        <v>469</v>
      </c>
      <c r="C112" s="303"/>
      <c r="D112" s="303"/>
      <c r="E112" s="303"/>
      <c r="F112" s="303"/>
      <c r="G112" s="303"/>
      <c r="H112" s="303"/>
      <c r="I112" s="303"/>
      <c r="J112" s="303"/>
      <c r="K112" s="303"/>
      <c r="L112" s="303"/>
      <c r="M112" s="303"/>
      <c r="N112" s="303"/>
      <c r="O112" s="303"/>
      <c r="P112" s="303"/>
      <c r="Q112" s="303"/>
      <c r="R112" s="303"/>
      <c r="S112" s="303"/>
      <c r="T112" s="303"/>
      <c r="U112" s="303"/>
      <c r="V112" s="30"/>
      <c r="W112" s="30"/>
    </row>
    <row r="113" spans="2:32" ht="12.75" customHeight="1" x14ac:dyDescent="0.3">
      <c r="B113" s="327"/>
      <c r="C113" s="330"/>
      <c r="D113" s="333"/>
      <c r="E113" s="333"/>
      <c r="F113" s="336" t="s">
        <v>220</v>
      </c>
      <c r="G113" s="337"/>
      <c r="H113" s="338"/>
      <c r="I113" s="336" t="s">
        <v>221</v>
      </c>
      <c r="J113" s="342"/>
      <c r="K113" s="343"/>
      <c r="L113" s="336" t="s">
        <v>390</v>
      </c>
      <c r="M113" s="342"/>
      <c r="N113" s="343"/>
      <c r="O113" s="336" t="s">
        <v>287</v>
      </c>
      <c r="P113" s="342"/>
      <c r="Q113" s="343"/>
      <c r="R113" s="336" t="s">
        <v>222</v>
      </c>
      <c r="S113" s="342"/>
      <c r="T113" s="343"/>
      <c r="U113" s="333" t="s">
        <v>213</v>
      </c>
      <c r="V113" s="30"/>
      <c r="W113" s="30"/>
    </row>
    <row r="114" spans="2:32" ht="12.75" customHeight="1" x14ac:dyDescent="0.3">
      <c r="B114" s="328" t="s">
        <v>0</v>
      </c>
      <c r="C114" s="331" t="s">
        <v>166</v>
      </c>
      <c r="D114" s="334" t="s">
        <v>2</v>
      </c>
      <c r="E114" s="334" t="s">
        <v>3</v>
      </c>
      <c r="F114" s="339" t="s">
        <v>288</v>
      </c>
      <c r="G114" s="340"/>
      <c r="H114" s="341"/>
      <c r="I114" s="339" t="s">
        <v>289</v>
      </c>
      <c r="J114" s="344"/>
      <c r="K114" s="345"/>
      <c r="L114" s="339" t="s">
        <v>290</v>
      </c>
      <c r="M114" s="344"/>
      <c r="N114" s="345"/>
      <c r="O114" s="339" t="s">
        <v>291</v>
      </c>
      <c r="P114" s="344"/>
      <c r="Q114" s="345"/>
      <c r="R114" s="339" t="s">
        <v>292</v>
      </c>
      <c r="S114" s="344"/>
      <c r="T114" s="345"/>
      <c r="U114" s="334" t="s">
        <v>9</v>
      </c>
      <c r="V114" s="519" t="s">
        <v>223</v>
      </c>
      <c r="W114" s="521" t="s">
        <v>4</v>
      </c>
    </row>
    <row r="115" spans="2:32" ht="12.75" customHeight="1" x14ac:dyDescent="0.3">
      <c r="B115" s="329"/>
      <c r="C115" s="332"/>
      <c r="D115" s="335"/>
      <c r="E115" s="335"/>
      <c r="F115" s="325" t="s">
        <v>33</v>
      </c>
      <c r="G115" s="325" t="s">
        <v>34</v>
      </c>
      <c r="H115" s="326" t="s">
        <v>35</v>
      </c>
      <c r="I115" s="325" t="s">
        <v>33</v>
      </c>
      <c r="J115" s="325" t="s">
        <v>34</v>
      </c>
      <c r="K115" s="326" t="s">
        <v>35</v>
      </c>
      <c r="L115" s="325" t="s">
        <v>33</v>
      </c>
      <c r="M115" s="325" t="s">
        <v>34</v>
      </c>
      <c r="N115" s="326" t="s">
        <v>35</v>
      </c>
      <c r="O115" s="325" t="s">
        <v>33</v>
      </c>
      <c r="P115" s="325" t="s">
        <v>34</v>
      </c>
      <c r="Q115" s="326" t="s">
        <v>35</v>
      </c>
      <c r="R115" s="325" t="s">
        <v>33</v>
      </c>
      <c r="S115" s="325" t="s">
        <v>34</v>
      </c>
      <c r="T115" s="326" t="s">
        <v>35</v>
      </c>
      <c r="U115" s="335"/>
      <c r="V115" s="520"/>
      <c r="W115" s="522"/>
    </row>
    <row r="116" spans="2:32" ht="12.75" customHeight="1" thickBot="1" x14ac:dyDescent="0.35">
      <c r="B116" s="304">
        <v>1</v>
      </c>
      <c r="C116" s="305" t="s">
        <v>277</v>
      </c>
      <c r="D116" s="306"/>
      <c r="E116" s="365" t="s">
        <v>513</v>
      </c>
      <c r="F116" s="307">
        <v>17</v>
      </c>
      <c r="G116" s="307">
        <v>9</v>
      </c>
      <c r="H116" s="308">
        <v>52</v>
      </c>
      <c r="I116" s="307">
        <v>20</v>
      </c>
      <c r="J116" s="307">
        <v>12</v>
      </c>
      <c r="K116" s="308">
        <v>64</v>
      </c>
      <c r="L116" s="307">
        <v>20</v>
      </c>
      <c r="M116" s="307">
        <v>12</v>
      </c>
      <c r="N116" s="308">
        <v>96</v>
      </c>
      <c r="O116" s="307">
        <v>20</v>
      </c>
      <c r="P116" s="307">
        <v>12</v>
      </c>
      <c r="Q116" s="308">
        <v>64</v>
      </c>
      <c r="R116" s="307" t="s">
        <v>515</v>
      </c>
      <c r="S116" s="307" t="s">
        <v>515</v>
      </c>
      <c r="T116" s="308"/>
      <c r="U116" s="309">
        <v>276</v>
      </c>
      <c r="V116" s="140" t="str">
        <f>IF(W116&gt;=3,"Sí","No")</f>
        <v>Sí</v>
      </c>
      <c r="W116" s="141">
        <f>COUNTA(H116,K116,N116,Q116,T116)</f>
        <v>4</v>
      </c>
      <c r="X116" s="148"/>
      <c r="Y116" s="262" t="str">
        <f>IFERROR(VLOOKUP(C116,Tabla15[[Piloto2]:[Puntos clase5]],4, FALSE), " ")</f>
        <v xml:space="preserve"> </v>
      </c>
    </row>
    <row r="117" spans="2:32" ht="12.75" customHeight="1" thickBot="1" x14ac:dyDescent="0.35">
      <c r="B117" s="304">
        <v>2</v>
      </c>
      <c r="C117" s="305" t="s">
        <v>240</v>
      </c>
      <c r="D117" s="405"/>
      <c r="E117" s="233" t="s">
        <v>514</v>
      </c>
      <c r="F117" s="357">
        <v>12</v>
      </c>
      <c r="G117" s="307">
        <v>12</v>
      </c>
      <c r="H117" s="308">
        <v>48</v>
      </c>
      <c r="I117" s="307">
        <v>14</v>
      </c>
      <c r="J117" s="307">
        <v>12</v>
      </c>
      <c r="K117" s="308">
        <v>52</v>
      </c>
      <c r="L117" s="307">
        <v>14</v>
      </c>
      <c r="M117" s="307">
        <v>12</v>
      </c>
      <c r="N117" s="308">
        <v>78</v>
      </c>
      <c r="O117" s="307">
        <v>10</v>
      </c>
      <c r="P117" s="307">
        <v>9</v>
      </c>
      <c r="Q117" s="308">
        <v>38</v>
      </c>
      <c r="R117" s="307">
        <v>17</v>
      </c>
      <c r="S117" s="307">
        <v>12</v>
      </c>
      <c r="T117" s="308">
        <v>29</v>
      </c>
      <c r="U117" s="309">
        <v>245</v>
      </c>
      <c r="V117" s="140" t="str">
        <f t="shared" ref="V117:V134" si="4">IF(W117&gt;=3,"Sí","No")</f>
        <v>Sí</v>
      </c>
      <c r="W117" s="141">
        <f t="shared" ref="W117:W133" si="5">COUNTA(H117,K117,N117,Q117,T117)</f>
        <v>5</v>
      </c>
      <c r="X117" s="148"/>
      <c r="Y117" s="262" t="str">
        <f>IFERROR(VLOOKUP(C117,Tabla15[[Piloto2]:[Puntos clase5]],4, FALSE), " ")</f>
        <v xml:space="preserve"> </v>
      </c>
    </row>
    <row r="118" spans="2:32" ht="12.75" customHeight="1" x14ac:dyDescent="0.3">
      <c r="B118" s="304">
        <v>3</v>
      </c>
      <c r="C118" s="310" t="s">
        <v>233</v>
      </c>
      <c r="D118" s="307"/>
      <c r="E118" s="321" t="s">
        <v>513</v>
      </c>
      <c r="F118" s="307">
        <v>20</v>
      </c>
      <c r="G118" s="307">
        <v>12</v>
      </c>
      <c r="H118" s="308">
        <v>64</v>
      </c>
      <c r="I118" s="307">
        <v>17</v>
      </c>
      <c r="J118" s="307">
        <v>9</v>
      </c>
      <c r="K118" s="308">
        <v>52</v>
      </c>
      <c r="L118" s="307">
        <v>17</v>
      </c>
      <c r="M118" s="307">
        <v>9</v>
      </c>
      <c r="N118" s="308">
        <v>78</v>
      </c>
      <c r="O118" s="307">
        <v>0</v>
      </c>
      <c r="P118" s="307">
        <v>0</v>
      </c>
      <c r="Q118" s="308">
        <v>0</v>
      </c>
      <c r="R118" s="307">
        <v>20</v>
      </c>
      <c r="S118" s="307">
        <v>12</v>
      </c>
      <c r="T118" s="308">
        <v>32</v>
      </c>
      <c r="U118" s="309">
        <v>226</v>
      </c>
      <c r="V118" s="140" t="str">
        <f t="shared" si="4"/>
        <v>Sí</v>
      </c>
      <c r="W118" s="141">
        <f t="shared" si="5"/>
        <v>5</v>
      </c>
      <c r="X118" s="148"/>
      <c r="Y118" s="262" t="str">
        <f>IFERROR(VLOOKUP(C118,Tabla15[[Piloto2]:[Puntos clase5]],4, FALSE), " ")</f>
        <v xml:space="preserve"> </v>
      </c>
    </row>
    <row r="119" spans="2:32" ht="12.75" customHeight="1" x14ac:dyDescent="0.3">
      <c r="B119" s="304">
        <v>4</v>
      </c>
      <c r="C119" s="305" t="s">
        <v>237</v>
      </c>
      <c r="D119" s="306"/>
      <c r="E119" s="306" t="s">
        <v>514</v>
      </c>
      <c r="F119" s="307">
        <v>0</v>
      </c>
      <c r="G119" s="307">
        <v>0</v>
      </c>
      <c r="H119" s="308">
        <v>0</v>
      </c>
      <c r="I119" s="307">
        <v>12</v>
      </c>
      <c r="J119" s="307">
        <v>9</v>
      </c>
      <c r="K119" s="308">
        <v>42</v>
      </c>
      <c r="L119" s="307">
        <v>12</v>
      </c>
      <c r="M119" s="307">
        <v>9</v>
      </c>
      <c r="N119" s="308">
        <v>63</v>
      </c>
      <c r="O119" s="307">
        <v>12</v>
      </c>
      <c r="P119" s="307">
        <v>12</v>
      </c>
      <c r="Q119" s="308">
        <v>48</v>
      </c>
      <c r="R119" s="307">
        <v>14</v>
      </c>
      <c r="S119" s="307">
        <v>9</v>
      </c>
      <c r="T119" s="308">
        <v>23</v>
      </c>
      <c r="U119" s="309">
        <v>176</v>
      </c>
      <c r="V119" s="140" t="str">
        <f t="shared" si="4"/>
        <v>Sí</v>
      </c>
      <c r="W119" s="141">
        <f t="shared" si="5"/>
        <v>5</v>
      </c>
      <c r="X119" s="148"/>
      <c r="Y119" s="262" t="str">
        <f>IFERROR(VLOOKUP(C119,Tabla15[[Piloto2]:[Puntos clase5]],4, FALSE), " ")</f>
        <v xml:space="preserve"> </v>
      </c>
    </row>
    <row r="120" spans="2:32" ht="12.75" customHeight="1" x14ac:dyDescent="0.3">
      <c r="B120" s="304">
        <v>5</v>
      </c>
      <c r="C120" s="305" t="s">
        <v>284</v>
      </c>
      <c r="D120" s="306"/>
      <c r="E120" s="306" t="s">
        <v>513</v>
      </c>
      <c r="F120" s="307">
        <v>2</v>
      </c>
      <c r="G120" s="307">
        <v>9</v>
      </c>
      <c r="H120" s="308">
        <v>22</v>
      </c>
      <c r="I120" s="307">
        <v>0</v>
      </c>
      <c r="J120" s="307">
        <v>9</v>
      </c>
      <c r="K120" s="308">
        <v>18</v>
      </c>
      <c r="L120" s="307">
        <v>8</v>
      </c>
      <c r="M120" s="307">
        <v>12</v>
      </c>
      <c r="N120" s="308">
        <v>60</v>
      </c>
      <c r="O120" s="307">
        <v>4</v>
      </c>
      <c r="P120" s="307">
        <v>12</v>
      </c>
      <c r="Q120" s="308">
        <v>32</v>
      </c>
      <c r="R120" s="307" t="s">
        <v>515</v>
      </c>
      <c r="S120" s="307" t="s">
        <v>515</v>
      </c>
      <c r="T120" s="308"/>
      <c r="U120" s="309">
        <v>132</v>
      </c>
      <c r="V120" s="140" t="str">
        <f t="shared" si="4"/>
        <v>Sí</v>
      </c>
      <c r="W120" s="141">
        <f t="shared" si="5"/>
        <v>4</v>
      </c>
      <c r="X120" s="148"/>
      <c r="Y120" s="262" t="str">
        <f>IFERROR(VLOOKUP(C120,Tabla15[[Piloto2]:[Puntos clase5]],4, FALSE), " ")</f>
        <v xml:space="preserve"> </v>
      </c>
    </row>
    <row r="121" spans="2:32" ht="12.75" customHeight="1" x14ac:dyDescent="0.3">
      <c r="B121" s="304">
        <v>6</v>
      </c>
      <c r="C121" s="305" t="s">
        <v>375</v>
      </c>
      <c r="D121" s="306"/>
      <c r="E121" s="306" t="s">
        <v>514</v>
      </c>
      <c r="F121" s="307">
        <v>6</v>
      </c>
      <c r="G121" s="307">
        <v>12</v>
      </c>
      <c r="H121" s="308">
        <v>36</v>
      </c>
      <c r="I121" s="307">
        <v>10</v>
      </c>
      <c r="J121" s="307">
        <v>12</v>
      </c>
      <c r="K121" s="308">
        <v>44</v>
      </c>
      <c r="L121" s="307">
        <v>0</v>
      </c>
      <c r="M121" s="307">
        <v>5</v>
      </c>
      <c r="N121" s="308">
        <v>15</v>
      </c>
      <c r="O121" s="307" t="s">
        <v>515</v>
      </c>
      <c r="P121" s="307" t="s">
        <v>515</v>
      </c>
      <c r="Q121" s="308"/>
      <c r="R121" s="307">
        <v>10</v>
      </c>
      <c r="S121" s="307">
        <v>12</v>
      </c>
      <c r="T121" s="308">
        <v>22</v>
      </c>
      <c r="U121" s="309">
        <v>117</v>
      </c>
      <c r="V121" s="140" t="str">
        <f t="shared" si="4"/>
        <v>Sí</v>
      </c>
      <c r="W121" s="141">
        <f t="shared" si="5"/>
        <v>4</v>
      </c>
      <c r="X121" s="148"/>
      <c r="Y121" s="262" t="str">
        <f>IFERROR(VLOOKUP(C121,Tabla15[[Piloto2]:[Puntos clase5]],4, FALSE), " ")</f>
        <v xml:space="preserve"> </v>
      </c>
    </row>
    <row r="122" spans="2:32" ht="12.75" customHeight="1" x14ac:dyDescent="0.3">
      <c r="B122" s="304">
        <v>7</v>
      </c>
      <c r="C122" s="305" t="s">
        <v>306</v>
      </c>
      <c r="D122" s="306"/>
      <c r="E122" s="306" t="s">
        <v>514</v>
      </c>
      <c r="F122" s="307">
        <v>0</v>
      </c>
      <c r="G122" s="307">
        <v>5</v>
      </c>
      <c r="H122" s="308">
        <v>10</v>
      </c>
      <c r="I122" s="307">
        <v>3</v>
      </c>
      <c r="J122" s="307">
        <v>12</v>
      </c>
      <c r="K122" s="308">
        <v>30</v>
      </c>
      <c r="L122" s="307">
        <v>6</v>
      </c>
      <c r="M122" s="307">
        <v>9</v>
      </c>
      <c r="N122" s="308">
        <v>45</v>
      </c>
      <c r="O122" s="307">
        <v>2</v>
      </c>
      <c r="P122" s="307">
        <v>7</v>
      </c>
      <c r="Q122" s="308">
        <v>18</v>
      </c>
      <c r="R122" s="307" t="s">
        <v>515</v>
      </c>
      <c r="S122" s="307" t="s">
        <v>515</v>
      </c>
      <c r="T122" s="308"/>
      <c r="U122" s="309">
        <v>103</v>
      </c>
      <c r="V122" s="140" t="str">
        <f t="shared" si="4"/>
        <v>Sí</v>
      </c>
      <c r="W122" s="141">
        <f t="shared" si="5"/>
        <v>4</v>
      </c>
      <c r="X122" s="148"/>
      <c r="Y122" s="262" t="str">
        <f>IFERROR(VLOOKUP(C122,Tabla15[[Piloto2]:[Puntos clase5]],4, FALSE), " ")</f>
        <v xml:space="preserve"> </v>
      </c>
    </row>
    <row r="123" spans="2:32" ht="12.75" customHeight="1" x14ac:dyDescent="0.3">
      <c r="B123" s="304">
        <v>8</v>
      </c>
      <c r="C123" s="305" t="s">
        <v>303</v>
      </c>
      <c r="D123" s="306"/>
      <c r="E123" s="306" t="s">
        <v>514</v>
      </c>
      <c r="F123" s="307">
        <v>0</v>
      </c>
      <c r="G123" s="307">
        <v>5</v>
      </c>
      <c r="H123" s="308">
        <v>10</v>
      </c>
      <c r="I123" s="307">
        <v>6</v>
      </c>
      <c r="J123" s="307">
        <v>7</v>
      </c>
      <c r="K123" s="308">
        <v>26</v>
      </c>
      <c r="L123" s="307">
        <v>10</v>
      </c>
      <c r="M123" s="307">
        <v>12</v>
      </c>
      <c r="N123" s="308">
        <v>66</v>
      </c>
      <c r="O123" s="307" t="s">
        <v>515</v>
      </c>
      <c r="P123" s="307" t="s">
        <v>515</v>
      </c>
      <c r="Q123" s="308"/>
      <c r="R123" s="307" t="s">
        <v>515</v>
      </c>
      <c r="S123" s="307" t="s">
        <v>515</v>
      </c>
      <c r="T123" s="308"/>
      <c r="U123" s="309">
        <v>102</v>
      </c>
      <c r="V123" s="140" t="str">
        <f t="shared" si="4"/>
        <v>Sí</v>
      </c>
      <c r="W123" s="141">
        <f t="shared" si="5"/>
        <v>3</v>
      </c>
      <c r="X123" s="148"/>
      <c r="Y123" s="262" t="str">
        <f>IFERROR(VLOOKUP(C123,Tabla15[[Piloto2]:[Puntos clase5]],4, FALSE), " ")</f>
        <v xml:space="preserve"> </v>
      </c>
    </row>
    <row r="124" spans="2:32" ht="12.75" customHeight="1" x14ac:dyDescent="0.3">
      <c r="B124" s="304">
        <v>9</v>
      </c>
      <c r="C124" s="305" t="s">
        <v>244</v>
      </c>
      <c r="D124" s="306"/>
      <c r="E124" s="306" t="s">
        <v>514</v>
      </c>
      <c r="F124" s="307">
        <v>0</v>
      </c>
      <c r="G124" s="307">
        <v>0</v>
      </c>
      <c r="H124" s="308">
        <v>0</v>
      </c>
      <c r="I124" s="307">
        <v>4</v>
      </c>
      <c r="J124" s="307">
        <v>12</v>
      </c>
      <c r="K124" s="308">
        <v>32</v>
      </c>
      <c r="L124" s="307" t="s">
        <v>515</v>
      </c>
      <c r="M124" s="307" t="s">
        <v>515</v>
      </c>
      <c r="N124" s="308"/>
      <c r="O124" s="307">
        <v>6</v>
      </c>
      <c r="P124" s="307">
        <v>12</v>
      </c>
      <c r="Q124" s="308">
        <v>36</v>
      </c>
      <c r="R124" s="307">
        <v>5</v>
      </c>
      <c r="S124" s="307">
        <v>12</v>
      </c>
      <c r="T124" s="308">
        <v>17</v>
      </c>
      <c r="U124" s="309">
        <v>85</v>
      </c>
      <c r="V124" s="140" t="str">
        <f t="shared" si="4"/>
        <v>Sí</v>
      </c>
      <c r="W124" s="141">
        <f t="shared" si="5"/>
        <v>4</v>
      </c>
      <c r="X124" s="148"/>
      <c r="Y124" s="262" t="str">
        <f>IFERROR(VLOOKUP(C124,Tabla15[[Piloto2]:[Puntos clase5]],4, FALSE), " ")</f>
        <v xml:space="preserve"> </v>
      </c>
    </row>
    <row r="125" spans="2:32" ht="12.75" customHeight="1" x14ac:dyDescent="0.3">
      <c r="B125" s="304">
        <v>10</v>
      </c>
      <c r="C125" s="305" t="s">
        <v>296</v>
      </c>
      <c r="D125" s="306"/>
      <c r="E125" s="306" t="s">
        <v>514</v>
      </c>
      <c r="F125" s="307">
        <v>8</v>
      </c>
      <c r="G125" s="307">
        <v>12</v>
      </c>
      <c r="H125" s="308">
        <v>40</v>
      </c>
      <c r="I125" s="307" t="s">
        <v>515</v>
      </c>
      <c r="J125" s="307" t="s">
        <v>515</v>
      </c>
      <c r="K125" s="308"/>
      <c r="L125" s="307">
        <v>0</v>
      </c>
      <c r="M125" s="307">
        <v>0</v>
      </c>
      <c r="N125" s="308">
        <v>0</v>
      </c>
      <c r="O125" s="307">
        <v>3</v>
      </c>
      <c r="P125" s="307">
        <v>9</v>
      </c>
      <c r="Q125" s="308">
        <v>24</v>
      </c>
      <c r="R125" s="307">
        <v>8</v>
      </c>
      <c r="S125" s="307">
        <v>12</v>
      </c>
      <c r="T125" s="308">
        <v>20</v>
      </c>
      <c r="U125" s="309">
        <v>84</v>
      </c>
      <c r="V125" s="140" t="str">
        <f t="shared" si="4"/>
        <v>Sí</v>
      </c>
      <c r="W125" s="141">
        <f t="shared" si="5"/>
        <v>4</v>
      </c>
      <c r="X125" s="148"/>
      <c r="Y125" s="262" t="str">
        <f>IFERROR(VLOOKUP(C125,Tabla15[[Piloto2]:[Puntos clase5]],4, FALSE), " ")</f>
        <v xml:space="preserve"> </v>
      </c>
    </row>
    <row r="126" spans="2:32" ht="12.75" customHeight="1" x14ac:dyDescent="0.3">
      <c r="B126" s="304">
        <v>11</v>
      </c>
      <c r="C126" s="305" t="s">
        <v>311</v>
      </c>
      <c r="D126" s="306"/>
      <c r="E126" s="306" t="s">
        <v>514</v>
      </c>
      <c r="F126" s="307">
        <v>0</v>
      </c>
      <c r="G126" s="307">
        <v>9</v>
      </c>
      <c r="H126" s="308">
        <v>18</v>
      </c>
      <c r="I126" s="307">
        <v>1</v>
      </c>
      <c r="J126" s="307">
        <v>9</v>
      </c>
      <c r="K126" s="308">
        <v>20</v>
      </c>
      <c r="L126" s="307">
        <v>2</v>
      </c>
      <c r="M126" s="307">
        <v>5</v>
      </c>
      <c r="N126" s="308">
        <v>21</v>
      </c>
      <c r="O126" s="307">
        <v>1</v>
      </c>
      <c r="P126" s="307">
        <v>9</v>
      </c>
      <c r="Q126" s="308">
        <v>20</v>
      </c>
      <c r="R126" s="307"/>
      <c r="S126" s="307"/>
      <c r="T126" s="308"/>
      <c r="U126" s="309">
        <v>79</v>
      </c>
      <c r="V126" s="140" t="str">
        <f t="shared" si="4"/>
        <v>Sí</v>
      </c>
      <c r="W126" s="141">
        <f t="shared" si="5"/>
        <v>4</v>
      </c>
      <c r="X126" s="148"/>
      <c r="Y126" s="262" t="str">
        <f>IFERROR(VLOOKUP(C126,Tabla15[[Piloto2]:[Puntos clase5]],4, FALSE), " ")</f>
        <v xml:space="preserve"> </v>
      </c>
      <c r="Z126" s="232" t="s">
        <v>271</v>
      </c>
      <c r="AA126" s="229"/>
      <c r="AB126" s="229"/>
      <c r="AC126" s="229"/>
      <c r="AD126" s="229"/>
      <c r="AE126" s="229"/>
      <c r="AF126" s="230"/>
    </row>
    <row r="127" spans="2:32" ht="12.75" customHeight="1" x14ac:dyDescent="0.3">
      <c r="B127" s="304">
        <v>12</v>
      </c>
      <c r="C127" s="305" t="s">
        <v>243</v>
      </c>
      <c r="D127" s="306"/>
      <c r="E127" s="306" t="s">
        <v>514</v>
      </c>
      <c r="F127" s="307">
        <v>1</v>
      </c>
      <c r="G127" s="307">
        <v>7</v>
      </c>
      <c r="H127" s="308">
        <v>16</v>
      </c>
      <c r="I127" s="307">
        <v>2</v>
      </c>
      <c r="J127" s="307">
        <v>3</v>
      </c>
      <c r="K127" s="308">
        <v>10</v>
      </c>
      <c r="L127" s="307">
        <v>4</v>
      </c>
      <c r="M127" s="307">
        <v>7</v>
      </c>
      <c r="N127" s="308">
        <v>33</v>
      </c>
      <c r="O127" s="307">
        <v>0</v>
      </c>
      <c r="P127" s="307">
        <v>0</v>
      </c>
      <c r="Q127" s="308">
        <v>0</v>
      </c>
      <c r="R127" s="307">
        <v>6</v>
      </c>
      <c r="S127" s="307">
        <v>9</v>
      </c>
      <c r="T127" s="308">
        <v>15</v>
      </c>
      <c r="U127" s="309">
        <v>74</v>
      </c>
      <c r="V127" s="140" t="str">
        <f t="shared" si="4"/>
        <v>Sí</v>
      </c>
      <c r="W127" s="141">
        <f t="shared" si="5"/>
        <v>5</v>
      </c>
      <c r="X127" s="148"/>
      <c r="Y127" s="262" t="str">
        <f>IFERROR(VLOOKUP(C127,Tabla15[[Piloto2]:[Puntos clase5]],4, FALSE), " ")</f>
        <v xml:space="preserve"> </v>
      </c>
      <c r="Z127" s="8" t="s">
        <v>272</v>
      </c>
      <c r="AA127" s="8">
        <v>1</v>
      </c>
      <c r="AB127" s="8">
        <v>2</v>
      </c>
      <c r="AC127" s="8">
        <v>3</v>
      </c>
      <c r="AD127" s="8">
        <v>4</v>
      </c>
      <c r="AE127" s="8">
        <v>5</v>
      </c>
      <c r="AF127" s="8" t="s">
        <v>9</v>
      </c>
    </row>
    <row r="128" spans="2:32" ht="12.75" customHeight="1" x14ac:dyDescent="0.3">
      <c r="B128" s="304">
        <v>13</v>
      </c>
      <c r="C128" s="305" t="s">
        <v>251</v>
      </c>
      <c r="D128" s="306"/>
      <c r="E128" s="306" t="s">
        <v>514</v>
      </c>
      <c r="F128" s="307">
        <v>10</v>
      </c>
      <c r="G128" s="307">
        <v>9</v>
      </c>
      <c r="H128" s="308">
        <v>38</v>
      </c>
      <c r="I128" s="307" t="s">
        <v>515</v>
      </c>
      <c r="J128" s="307" t="s">
        <v>515</v>
      </c>
      <c r="K128" s="308"/>
      <c r="L128" s="307" t="s">
        <v>515</v>
      </c>
      <c r="M128" s="307" t="s">
        <v>515</v>
      </c>
      <c r="N128" s="308"/>
      <c r="O128" s="307">
        <v>0</v>
      </c>
      <c r="P128" s="307">
        <v>0</v>
      </c>
      <c r="Q128" s="308">
        <v>0</v>
      </c>
      <c r="R128" s="307">
        <v>12</v>
      </c>
      <c r="S128" s="307">
        <v>7</v>
      </c>
      <c r="T128" s="308">
        <v>19</v>
      </c>
      <c r="U128" s="309">
        <v>57</v>
      </c>
      <c r="V128" s="140" t="str">
        <f t="shared" si="4"/>
        <v>Sí</v>
      </c>
      <c r="W128" s="141">
        <f>COUNTA(H128,K128,N128,Q128,T128)</f>
        <v>3</v>
      </c>
      <c r="X128" s="148"/>
      <c r="Y128" s="262" t="str">
        <f>IFERROR(VLOOKUP(C128,Tabla15[[Piloto2]:[Puntos clase5]],4, FALSE), " ")</f>
        <v xml:space="preserve"> </v>
      </c>
    </row>
    <row r="129" spans="2:36" ht="12.75" customHeight="1" x14ac:dyDescent="0.3">
      <c r="B129" s="304">
        <v>14</v>
      </c>
      <c r="C129" s="310" t="s">
        <v>384</v>
      </c>
      <c r="D129" s="306"/>
      <c r="E129" s="306" t="s">
        <v>513</v>
      </c>
      <c r="F129" s="307">
        <v>0</v>
      </c>
      <c r="G129" s="307">
        <v>0</v>
      </c>
      <c r="H129" s="308">
        <v>0</v>
      </c>
      <c r="I129" s="307">
        <v>0</v>
      </c>
      <c r="J129" s="307">
        <v>0</v>
      </c>
      <c r="K129" s="308">
        <v>0</v>
      </c>
      <c r="L129" s="307">
        <v>0</v>
      </c>
      <c r="M129" s="307">
        <v>0</v>
      </c>
      <c r="N129" s="308">
        <v>0</v>
      </c>
      <c r="O129" s="307">
        <v>17</v>
      </c>
      <c r="P129" s="307">
        <v>9</v>
      </c>
      <c r="Q129" s="308">
        <v>52</v>
      </c>
      <c r="R129" s="307">
        <v>0</v>
      </c>
      <c r="S129" s="307">
        <v>0</v>
      </c>
      <c r="T129" s="308">
        <v>0</v>
      </c>
      <c r="U129" s="309">
        <v>52</v>
      </c>
      <c r="V129" s="140" t="str">
        <f t="shared" si="4"/>
        <v>Sí</v>
      </c>
      <c r="W129" s="141">
        <f>COUNTA(H129,K129,N129,Q129,T129)</f>
        <v>5</v>
      </c>
      <c r="X129" s="7"/>
      <c r="Y129" s="262" t="str">
        <f>IFERROR(VLOOKUP(C129,Tabla15[[Piloto2]:[Puntos clase5]],4, FALSE), " ")</f>
        <v xml:space="preserve"> </v>
      </c>
      <c r="Z129" s="6"/>
    </row>
    <row r="130" spans="2:36" ht="12.75" customHeight="1" x14ac:dyDescent="0.3">
      <c r="B130" s="304">
        <v>15</v>
      </c>
      <c r="C130" s="305" t="s">
        <v>313</v>
      </c>
      <c r="D130" s="306"/>
      <c r="E130" s="306" t="s">
        <v>514</v>
      </c>
      <c r="F130" s="307">
        <v>0</v>
      </c>
      <c r="G130" s="307">
        <v>0</v>
      </c>
      <c r="H130" s="308">
        <v>0</v>
      </c>
      <c r="I130" s="307">
        <v>0</v>
      </c>
      <c r="J130" s="307">
        <v>1</v>
      </c>
      <c r="K130" s="308">
        <v>2</v>
      </c>
      <c r="L130" s="307">
        <v>0</v>
      </c>
      <c r="M130" s="307">
        <v>0</v>
      </c>
      <c r="N130" s="308">
        <v>0</v>
      </c>
      <c r="O130" s="307">
        <v>5</v>
      </c>
      <c r="P130" s="307">
        <v>12</v>
      </c>
      <c r="Q130" s="308">
        <v>34</v>
      </c>
      <c r="R130" s="307">
        <v>1</v>
      </c>
      <c r="S130" s="307">
        <v>7</v>
      </c>
      <c r="T130" s="308">
        <v>8</v>
      </c>
      <c r="U130" s="309">
        <v>44</v>
      </c>
      <c r="V130" s="140" t="str">
        <f t="shared" si="4"/>
        <v>Sí</v>
      </c>
      <c r="W130" s="141">
        <f>COUNTA(H130,K130,N130,Q130,T130)</f>
        <v>5</v>
      </c>
      <c r="Y130" s="262" t="str">
        <f>IFERROR(VLOOKUP(C130,Tabla15[[Piloto2]:[Puntos clase5]],4, FALSE), " ")</f>
        <v xml:space="preserve"> </v>
      </c>
      <c r="Z130" s="2"/>
    </row>
    <row r="131" spans="2:36" ht="12.75" customHeight="1" x14ac:dyDescent="0.3">
      <c r="B131" s="304">
        <v>16</v>
      </c>
      <c r="C131" s="305" t="s">
        <v>235</v>
      </c>
      <c r="D131" s="306"/>
      <c r="E131" s="306" t="s">
        <v>513</v>
      </c>
      <c r="F131" s="307">
        <v>0</v>
      </c>
      <c r="G131" s="307">
        <v>0</v>
      </c>
      <c r="H131" s="308">
        <v>0</v>
      </c>
      <c r="I131" s="307" t="s">
        <v>213</v>
      </c>
      <c r="J131" s="307" t="s">
        <v>213</v>
      </c>
      <c r="K131" s="308"/>
      <c r="L131" s="307">
        <v>0</v>
      </c>
      <c r="M131" s="307">
        <v>0</v>
      </c>
      <c r="N131" s="308">
        <v>0</v>
      </c>
      <c r="O131" s="307">
        <v>14</v>
      </c>
      <c r="P131" s="307">
        <v>7</v>
      </c>
      <c r="Q131" s="308">
        <v>42</v>
      </c>
      <c r="R131" s="307" t="s">
        <v>515</v>
      </c>
      <c r="S131" s="307" t="s">
        <v>515</v>
      </c>
      <c r="T131" s="308"/>
      <c r="U131" s="309">
        <v>42</v>
      </c>
      <c r="V131" s="140" t="str">
        <f t="shared" si="4"/>
        <v>Sí</v>
      </c>
      <c r="W131" s="141">
        <f>COUNTA(H131,K131,N131,Q131,T131)</f>
        <v>3</v>
      </c>
      <c r="X131" s="121"/>
      <c r="Y131" s="262" t="str">
        <f>IFERROR(VLOOKUP(C131,Tabla15[[Piloto2]:[Puntos clase5]],4, FALSE), " ")</f>
        <v xml:space="preserve"> </v>
      </c>
      <c r="Z131" s="8" t="s">
        <v>8</v>
      </c>
      <c r="AA131" s="8">
        <v>1</v>
      </c>
      <c r="AB131" s="8">
        <v>2</v>
      </c>
      <c r="AC131" s="8">
        <v>3</v>
      </c>
      <c r="AD131" s="8">
        <v>4</v>
      </c>
      <c r="AE131" s="8">
        <v>5</v>
      </c>
      <c r="AF131" s="8"/>
      <c r="AG131" s="8"/>
      <c r="AH131" s="8"/>
      <c r="AI131" s="8"/>
      <c r="AJ131" s="8" t="s">
        <v>9</v>
      </c>
    </row>
    <row r="132" spans="2:36" ht="12.75" customHeight="1" x14ac:dyDescent="0.3">
      <c r="B132" s="304">
        <v>17</v>
      </c>
      <c r="C132" s="310" t="s">
        <v>250</v>
      </c>
      <c r="D132" s="306"/>
      <c r="E132" s="306" t="s">
        <v>514</v>
      </c>
      <c r="F132" s="307">
        <v>0</v>
      </c>
      <c r="G132" s="307">
        <v>7</v>
      </c>
      <c r="H132" s="308">
        <v>14</v>
      </c>
      <c r="I132" s="307">
        <v>0</v>
      </c>
      <c r="J132" s="307">
        <v>7</v>
      </c>
      <c r="K132" s="308">
        <v>14</v>
      </c>
      <c r="L132" s="307" t="s">
        <v>515</v>
      </c>
      <c r="M132" s="307" t="s">
        <v>515</v>
      </c>
      <c r="N132" s="308"/>
      <c r="O132" s="307" t="s">
        <v>515</v>
      </c>
      <c r="P132" s="307" t="s">
        <v>515</v>
      </c>
      <c r="Q132" s="308"/>
      <c r="R132" s="307">
        <v>4</v>
      </c>
      <c r="S132" s="307">
        <v>9</v>
      </c>
      <c r="T132" s="308">
        <v>13</v>
      </c>
      <c r="U132" s="309">
        <v>41</v>
      </c>
      <c r="V132" s="140" t="str">
        <f t="shared" si="4"/>
        <v>Sí</v>
      </c>
      <c r="W132" s="141">
        <f t="shared" si="5"/>
        <v>3</v>
      </c>
      <c r="X132" s="148"/>
      <c r="Y132" s="262" t="str">
        <f>IFERROR(VLOOKUP(C132,Tabla15[[Piloto2]:[Puntos clase5]],4, FALSE), " ")</f>
        <v xml:space="preserve"> </v>
      </c>
    </row>
    <row r="133" spans="2:36" ht="12.75" customHeight="1" x14ac:dyDescent="0.3">
      <c r="B133" s="304">
        <v>18</v>
      </c>
      <c r="C133" s="305" t="s">
        <v>282</v>
      </c>
      <c r="D133" s="306"/>
      <c r="E133" s="306" t="s">
        <v>513</v>
      </c>
      <c r="F133" s="307">
        <v>0</v>
      </c>
      <c r="G133" s="307">
        <v>0</v>
      </c>
      <c r="H133" s="308">
        <v>0</v>
      </c>
      <c r="I133" s="307" t="s">
        <v>213</v>
      </c>
      <c r="J133" s="307" t="s">
        <v>213</v>
      </c>
      <c r="K133" s="308"/>
      <c r="L133" s="307" t="s">
        <v>515</v>
      </c>
      <c r="M133" s="307" t="s">
        <v>515</v>
      </c>
      <c r="N133" s="308"/>
      <c r="O133" s="307">
        <v>8</v>
      </c>
      <c r="P133" s="307">
        <v>5</v>
      </c>
      <c r="Q133" s="308">
        <v>26</v>
      </c>
      <c r="R133" s="307">
        <v>3</v>
      </c>
      <c r="S133" s="307">
        <v>9</v>
      </c>
      <c r="T133" s="308">
        <v>12</v>
      </c>
      <c r="U133" s="309">
        <v>38</v>
      </c>
      <c r="V133" s="140" t="str">
        <f t="shared" si="4"/>
        <v>Sí</v>
      </c>
      <c r="W133" s="141">
        <f t="shared" si="5"/>
        <v>3</v>
      </c>
      <c r="X133" s="148"/>
      <c r="Y133" s="262" t="str">
        <f>IFERROR(VLOOKUP(C133,Tabla15[[Piloto2]:[Puntos clase5]],4, FALSE), " ")</f>
        <v xml:space="preserve"> </v>
      </c>
    </row>
    <row r="134" spans="2:36" ht="12.75" customHeight="1" x14ac:dyDescent="0.3">
      <c r="B134" s="304">
        <v>19</v>
      </c>
      <c r="C134" s="305" t="s">
        <v>276</v>
      </c>
      <c r="D134" s="306"/>
      <c r="E134" s="306">
        <v>2</v>
      </c>
      <c r="F134" s="307">
        <v>0</v>
      </c>
      <c r="G134" s="307">
        <v>1</v>
      </c>
      <c r="H134" s="308">
        <v>2</v>
      </c>
      <c r="I134" s="307">
        <v>0</v>
      </c>
      <c r="J134" s="307">
        <v>0</v>
      </c>
      <c r="K134" s="308">
        <v>0</v>
      </c>
      <c r="L134" s="307" t="s">
        <v>515</v>
      </c>
      <c r="M134" s="307" t="s">
        <v>515</v>
      </c>
      <c r="N134" s="308"/>
      <c r="O134" s="307" t="s">
        <v>515</v>
      </c>
      <c r="P134" s="307" t="s">
        <v>515</v>
      </c>
      <c r="Q134" s="308"/>
      <c r="R134" s="307">
        <v>2</v>
      </c>
      <c r="S134" s="307">
        <v>7</v>
      </c>
      <c r="T134" s="308">
        <v>9</v>
      </c>
      <c r="U134" s="309">
        <v>11</v>
      </c>
      <c r="V134" s="140" t="str">
        <f t="shared" si="4"/>
        <v>Sí</v>
      </c>
      <c r="W134" s="141">
        <f>COUNTA(H134,K134,N134,Q134,T134)</f>
        <v>3</v>
      </c>
      <c r="X134" s="148"/>
      <c r="Y134" s="262" t="str">
        <f>IFERROR(VLOOKUP(C134,Tabla15[[Piloto2]:[Puntos clase5]],4, FALSE), " ")</f>
        <v xml:space="preserve"> </v>
      </c>
    </row>
    <row r="135" spans="2:36" ht="12.75" customHeight="1" thickBot="1" x14ac:dyDescent="0.35">
      <c r="B135" s="147"/>
      <c r="C135" s="147"/>
      <c r="D135" s="147"/>
      <c r="E135" s="147"/>
      <c r="F135" s="147"/>
      <c r="G135" s="147"/>
      <c r="H135" s="147"/>
      <c r="I135" s="147"/>
      <c r="J135" s="147"/>
      <c r="K135" s="147"/>
      <c r="L135" s="147"/>
      <c r="M135" s="147"/>
      <c r="N135" s="147"/>
      <c r="O135" s="147"/>
      <c r="P135" s="147"/>
      <c r="Q135" s="147"/>
      <c r="R135" s="147"/>
      <c r="S135" s="147"/>
      <c r="T135" s="147"/>
      <c r="U135" s="147"/>
      <c r="V135" s="240"/>
      <c r="W135" s="127"/>
      <c r="X135" s="148"/>
      <c r="Y135" s="262"/>
    </row>
    <row r="136" spans="2:36" ht="12.75" customHeight="1" thickBot="1" x14ac:dyDescent="0.35">
      <c r="B136" s="152"/>
      <c r="C136" s="235"/>
      <c r="D136" s="233">
        <v>2</v>
      </c>
      <c r="E136" s="348" t="s">
        <v>481</v>
      </c>
      <c r="F136" s="155"/>
      <c r="G136" s="155"/>
      <c r="H136" s="155"/>
      <c r="I136" s="155"/>
      <c r="J136" s="155"/>
      <c r="K136" s="155"/>
      <c r="L136" s="155"/>
      <c r="M136" s="155"/>
      <c r="N136" s="155"/>
      <c r="O136" s="155"/>
      <c r="P136" s="155"/>
      <c r="Q136" s="155"/>
      <c r="R136" s="155"/>
      <c r="S136" s="155"/>
      <c r="T136" s="155"/>
      <c r="U136" s="155"/>
      <c r="V136" s="147"/>
      <c r="W136" s="127"/>
      <c r="X136" s="148"/>
      <c r="Y136" s="262"/>
      <c r="Z136" s="8" t="s">
        <v>8</v>
      </c>
      <c r="AA136" s="8">
        <v>1</v>
      </c>
      <c r="AB136" s="8">
        <v>2</v>
      </c>
      <c r="AC136" s="8">
        <v>3</v>
      </c>
      <c r="AD136" s="8">
        <v>4</v>
      </c>
      <c r="AE136" s="8">
        <v>5</v>
      </c>
      <c r="AF136" s="8"/>
      <c r="AG136" s="8"/>
      <c r="AH136" s="8"/>
      <c r="AI136" s="8"/>
      <c r="AJ136" s="8" t="s">
        <v>9</v>
      </c>
    </row>
    <row r="137" spans="2:36" ht="3.75" customHeight="1" x14ac:dyDescent="0.3">
      <c r="B137" s="155"/>
      <c r="F137" s="155"/>
      <c r="G137" s="155"/>
      <c r="H137" s="155"/>
      <c r="I137" s="155"/>
      <c r="J137" s="155"/>
      <c r="K137" s="155"/>
      <c r="L137" s="155"/>
      <c r="M137" s="155"/>
      <c r="N137" s="155"/>
      <c r="O137" s="155"/>
      <c r="P137" s="155"/>
      <c r="Q137" s="155"/>
      <c r="R137" s="155"/>
      <c r="S137" s="155"/>
      <c r="T137" s="155"/>
      <c r="U137" s="155"/>
      <c r="V137" s="147"/>
      <c r="W137" s="127"/>
      <c r="X137" s="148"/>
      <c r="Y137" s="262"/>
      <c r="Z137" s="8"/>
      <c r="AA137" s="8"/>
      <c r="AB137" s="8"/>
      <c r="AC137" s="8"/>
      <c r="AD137" s="8"/>
      <c r="AE137" s="8"/>
      <c r="AF137" s="8"/>
      <c r="AG137" s="8"/>
      <c r="AH137" s="8"/>
      <c r="AI137" s="158"/>
      <c r="AJ137" s="8"/>
    </row>
    <row r="138" spans="2:36" ht="12.75" customHeight="1" x14ac:dyDescent="0.3">
      <c r="B138" s="147"/>
      <c r="C138" s="147"/>
      <c r="D138" s="147"/>
      <c r="E138" s="147"/>
      <c r="F138" s="147"/>
      <c r="G138" s="147"/>
      <c r="H138" s="147"/>
      <c r="I138" s="147"/>
      <c r="J138" s="147"/>
      <c r="K138" s="147"/>
      <c r="L138" s="147"/>
      <c r="M138" s="147"/>
      <c r="N138" s="147"/>
      <c r="O138" s="147"/>
      <c r="P138" s="147"/>
      <c r="Q138" s="147"/>
      <c r="R138" s="147"/>
      <c r="S138" s="147"/>
      <c r="T138" s="147"/>
      <c r="U138" s="147"/>
      <c r="V138" s="240"/>
      <c r="W138" s="127"/>
      <c r="X138" s="148"/>
      <c r="Y138" s="262"/>
    </row>
    <row r="139" spans="2:36" ht="13" x14ac:dyDescent="0.3">
      <c r="B139" s="301" t="s">
        <v>470</v>
      </c>
      <c r="C139" s="156"/>
      <c r="D139" s="2"/>
      <c r="E139" s="2"/>
      <c r="F139" s="2"/>
      <c r="G139" s="2"/>
      <c r="H139" s="3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147"/>
      <c r="W139" s="127"/>
      <c r="X139" s="148"/>
      <c r="Y139" s="262"/>
      <c r="Z139" s="8"/>
      <c r="AA139" s="8"/>
      <c r="AB139" s="8"/>
      <c r="AC139" s="8"/>
      <c r="AD139" s="8"/>
      <c r="AE139" s="8"/>
      <c r="AF139" s="8"/>
      <c r="AG139" s="8"/>
      <c r="AH139" s="8"/>
      <c r="AI139" s="158"/>
      <c r="AJ139" s="8"/>
    </row>
    <row r="140" spans="2:36" ht="19.5" x14ac:dyDescent="0.3">
      <c r="B140" s="327"/>
      <c r="C140" s="330"/>
      <c r="D140" s="333"/>
      <c r="E140" s="333"/>
      <c r="F140" s="336" t="s">
        <v>220</v>
      </c>
      <c r="G140" s="337"/>
      <c r="H140" s="338"/>
      <c r="I140" s="336" t="s">
        <v>221</v>
      </c>
      <c r="J140" s="342"/>
      <c r="K140" s="343"/>
      <c r="L140" s="336" t="s">
        <v>390</v>
      </c>
      <c r="M140" s="342"/>
      <c r="N140" s="343"/>
      <c r="O140" s="336" t="s">
        <v>287</v>
      </c>
      <c r="P140" s="342"/>
      <c r="Q140" s="343"/>
      <c r="R140" s="336" t="s">
        <v>222</v>
      </c>
      <c r="S140" s="342"/>
      <c r="T140" s="343"/>
      <c r="U140" s="333" t="s">
        <v>213</v>
      </c>
      <c r="V140" s="147"/>
      <c r="W140" s="127"/>
      <c r="X140" s="148"/>
      <c r="Y140" s="262"/>
      <c r="Z140" s="8"/>
      <c r="AA140" s="8"/>
      <c r="AB140" s="8"/>
      <c r="AC140" s="8"/>
      <c r="AD140" s="8"/>
      <c r="AE140" s="8"/>
      <c r="AF140" s="8"/>
      <c r="AG140" s="8"/>
      <c r="AH140" s="8"/>
      <c r="AI140" s="158"/>
      <c r="AJ140" s="8"/>
    </row>
    <row r="141" spans="2:36" ht="15.5" x14ac:dyDescent="0.3">
      <c r="B141" s="328" t="s">
        <v>0</v>
      </c>
      <c r="C141" s="331" t="s">
        <v>166</v>
      </c>
      <c r="D141" s="334" t="s">
        <v>2</v>
      </c>
      <c r="E141" s="334" t="s">
        <v>3</v>
      </c>
      <c r="F141" s="339" t="s">
        <v>288</v>
      </c>
      <c r="G141" s="340"/>
      <c r="H141" s="341"/>
      <c r="I141" s="339" t="s">
        <v>289</v>
      </c>
      <c r="J141" s="344"/>
      <c r="K141" s="345"/>
      <c r="L141" s="339" t="s">
        <v>290</v>
      </c>
      <c r="M141" s="344"/>
      <c r="N141" s="345"/>
      <c r="O141" s="339" t="s">
        <v>291</v>
      </c>
      <c r="P141" s="344"/>
      <c r="Q141" s="345"/>
      <c r="R141" s="339" t="s">
        <v>292</v>
      </c>
      <c r="S141" s="344"/>
      <c r="T141" s="345"/>
      <c r="U141" s="334" t="s">
        <v>9</v>
      </c>
      <c r="V141" s="147"/>
      <c r="W141" s="127"/>
      <c r="X141" s="148"/>
      <c r="Y141" s="262"/>
      <c r="Z141" s="8"/>
      <c r="AA141" s="8"/>
      <c r="AB141" s="8"/>
      <c r="AC141" s="8"/>
      <c r="AD141" s="8"/>
      <c r="AE141" s="8"/>
      <c r="AF141" s="8"/>
      <c r="AG141" s="8"/>
      <c r="AH141" s="8"/>
      <c r="AI141" s="158"/>
      <c r="AJ141" s="8"/>
    </row>
    <row r="142" spans="2:36" ht="13" x14ac:dyDescent="0.3">
      <c r="B142" s="329"/>
      <c r="C142" s="332"/>
      <c r="D142" s="335"/>
      <c r="E142" s="335"/>
      <c r="F142" s="325" t="s">
        <v>33</v>
      </c>
      <c r="G142" s="325" t="s">
        <v>34</v>
      </c>
      <c r="H142" s="326" t="s">
        <v>35</v>
      </c>
      <c r="I142" s="325" t="s">
        <v>33</v>
      </c>
      <c r="J142" s="325" t="s">
        <v>34</v>
      </c>
      <c r="K142" s="326" t="s">
        <v>35</v>
      </c>
      <c r="L142" s="325" t="s">
        <v>33</v>
      </c>
      <c r="M142" s="325" t="s">
        <v>34</v>
      </c>
      <c r="N142" s="326" t="s">
        <v>35</v>
      </c>
      <c r="O142" s="325" t="s">
        <v>33</v>
      </c>
      <c r="P142" s="325" t="s">
        <v>34</v>
      </c>
      <c r="Q142" s="326" t="s">
        <v>35</v>
      </c>
      <c r="R142" s="325" t="s">
        <v>33</v>
      </c>
      <c r="S142" s="325" t="s">
        <v>34</v>
      </c>
      <c r="T142" s="326" t="s">
        <v>35</v>
      </c>
      <c r="U142" s="335"/>
      <c r="V142" s="147"/>
      <c r="W142" s="127"/>
      <c r="X142" s="148"/>
      <c r="Y142" s="262"/>
      <c r="Z142" s="8"/>
      <c r="AA142" s="8"/>
      <c r="AB142" s="8"/>
      <c r="AC142" s="8"/>
      <c r="AD142" s="8"/>
      <c r="AE142" s="8"/>
      <c r="AF142" s="8"/>
      <c r="AG142" s="8"/>
      <c r="AH142" s="8"/>
      <c r="AI142" s="158"/>
      <c r="AJ142" s="8"/>
    </row>
    <row r="143" spans="2:36" ht="13" x14ac:dyDescent="0.3">
      <c r="B143" s="305"/>
      <c r="C143" s="305" t="s">
        <v>386</v>
      </c>
      <c r="D143" s="306"/>
      <c r="E143" s="306">
        <v>2</v>
      </c>
      <c r="F143" s="307"/>
      <c r="G143" s="307"/>
      <c r="H143" s="308"/>
      <c r="I143" s="307">
        <v>12</v>
      </c>
      <c r="J143" s="307">
        <v>9</v>
      </c>
      <c r="K143" s="308">
        <v>42</v>
      </c>
      <c r="L143" s="307" t="s">
        <v>515</v>
      </c>
      <c r="M143" s="307" t="s">
        <v>515</v>
      </c>
      <c r="N143" s="308"/>
      <c r="O143" s="307">
        <v>8</v>
      </c>
      <c r="P143" s="307">
        <v>7</v>
      </c>
      <c r="Q143" s="308">
        <v>30</v>
      </c>
      <c r="R143" s="307"/>
      <c r="S143" s="307"/>
      <c r="T143" s="308"/>
      <c r="U143" s="309">
        <v>72</v>
      </c>
      <c r="V143" s="147"/>
      <c r="W143" s="127"/>
      <c r="X143" s="148"/>
      <c r="Y143" s="262"/>
      <c r="Z143" s="8"/>
      <c r="AA143" s="8"/>
      <c r="AB143" s="8"/>
      <c r="AC143" s="8"/>
      <c r="AD143" s="8"/>
      <c r="AE143" s="8"/>
      <c r="AF143" s="8"/>
      <c r="AG143" s="8"/>
      <c r="AH143" s="8"/>
      <c r="AI143" s="158"/>
      <c r="AJ143" s="8"/>
    </row>
    <row r="144" spans="2:36" ht="13" x14ac:dyDescent="0.3">
      <c r="B144" s="305"/>
      <c r="C144" s="305" t="s">
        <v>297</v>
      </c>
      <c r="D144" s="306"/>
      <c r="E144" s="306">
        <v>2</v>
      </c>
      <c r="F144" s="307">
        <v>5</v>
      </c>
      <c r="G144" s="307">
        <v>12</v>
      </c>
      <c r="H144" s="308">
        <v>34</v>
      </c>
      <c r="I144" s="307">
        <v>8</v>
      </c>
      <c r="J144" s="307">
        <v>9</v>
      </c>
      <c r="K144" s="308">
        <v>34</v>
      </c>
      <c r="L144" s="307" t="s">
        <v>515</v>
      </c>
      <c r="M144" s="307" t="s">
        <v>515</v>
      </c>
      <c r="N144" s="308"/>
      <c r="O144" s="307" t="s">
        <v>515</v>
      </c>
      <c r="P144" s="307" t="s">
        <v>515</v>
      </c>
      <c r="Q144" s="308"/>
      <c r="R144" s="307" t="s">
        <v>515</v>
      </c>
      <c r="S144" s="307" t="s">
        <v>515</v>
      </c>
      <c r="T144" s="308"/>
      <c r="U144" s="309">
        <v>68</v>
      </c>
      <c r="V144" s="147"/>
      <c r="W144" s="127"/>
      <c r="X144" s="148"/>
      <c r="Y144" s="262"/>
      <c r="Z144" s="8"/>
      <c r="AA144" s="8"/>
      <c r="AB144" s="8"/>
      <c r="AC144" s="8"/>
      <c r="AD144" s="8"/>
      <c r="AE144" s="8"/>
      <c r="AF144" s="8"/>
      <c r="AG144" s="8"/>
      <c r="AH144" s="8"/>
      <c r="AI144" s="158"/>
      <c r="AJ144" s="8"/>
    </row>
    <row r="145" spans="2:36" ht="13" x14ac:dyDescent="0.3">
      <c r="B145" s="305"/>
      <c r="C145" s="305" t="s">
        <v>293</v>
      </c>
      <c r="D145" s="306"/>
      <c r="E145" s="306">
        <v>4</v>
      </c>
      <c r="F145" s="307">
        <v>14</v>
      </c>
      <c r="G145" s="307">
        <v>7</v>
      </c>
      <c r="H145" s="308">
        <v>42</v>
      </c>
      <c r="I145" s="307" t="s">
        <v>213</v>
      </c>
      <c r="J145" s="307" t="s">
        <v>213</v>
      </c>
      <c r="K145" s="308"/>
      <c r="L145" s="307" t="s">
        <v>515</v>
      </c>
      <c r="M145" s="307" t="s">
        <v>515</v>
      </c>
      <c r="N145" s="308"/>
      <c r="O145" s="307" t="s">
        <v>515</v>
      </c>
      <c r="P145" s="307" t="s">
        <v>515</v>
      </c>
      <c r="Q145" s="308"/>
      <c r="R145" s="307" t="s">
        <v>515</v>
      </c>
      <c r="S145" s="307" t="s">
        <v>515</v>
      </c>
      <c r="T145" s="308"/>
      <c r="U145" s="309">
        <v>42</v>
      </c>
      <c r="V145" s="147"/>
      <c r="W145" s="127"/>
      <c r="X145" s="148"/>
      <c r="Y145" s="262"/>
      <c r="Z145" s="8"/>
      <c r="AA145" s="8"/>
      <c r="AB145" s="8"/>
      <c r="AC145" s="8"/>
      <c r="AD145" s="8"/>
      <c r="AE145" s="8"/>
      <c r="AF145" s="8"/>
      <c r="AG145" s="8"/>
      <c r="AH145" s="8"/>
      <c r="AI145" s="158"/>
      <c r="AJ145" s="8"/>
    </row>
    <row r="146" spans="2:36" ht="13" x14ac:dyDescent="0.3">
      <c r="B146" s="305"/>
      <c r="C146" s="305" t="s">
        <v>373</v>
      </c>
      <c r="D146" s="306"/>
      <c r="E146" s="306">
        <v>2</v>
      </c>
      <c r="F146" s="307"/>
      <c r="G146" s="307"/>
      <c r="H146" s="308"/>
      <c r="I146" s="307"/>
      <c r="J146" s="307"/>
      <c r="K146" s="308"/>
      <c r="L146" s="307">
        <v>5</v>
      </c>
      <c r="M146" s="307">
        <v>9</v>
      </c>
      <c r="N146" s="308">
        <v>42</v>
      </c>
      <c r="O146" s="307" t="s">
        <v>515</v>
      </c>
      <c r="P146" s="307" t="s">
        <v>515</v>
      </c>
      <c r="Q146" s="308"/>
      <c r="R146" s="307" t="s">
        <v>515</v>
      </c>
      <c r="S146" s="307" t="s">
        <v>515</v>
      </c>
      <c r="T146" s="308"/>
      <c r="U146" s="309">
        <v>42</v>
      </c>
      <c r="V146" s="147"/>
      <c r="W146" s="127"/>
      <c r="X146" s="148"/>
      <c r="Y146" s="262"/>
      <c r="Z146" s="8"/>
      <c r="AA146" s="8"/>
      <c r="AB146" s="8"/>
      <c r="AC146" s="8"/>
      <c r="AD146" s="8"/>
      <c r="AE146" s="8"/>
      <c r="AF146" s="8"/>
      <c r="AG146" s="8"/>
      <c r="AH146" s="8"/>
      <c r="AI146" s="158"/>
      <c r="AJ146" s="8"/>
    </row>
    <row r="147" spans="2:36" ht="12" x14ac:dyDescent="0.3">
      <c r="B147" s="305"/>
      <c r="C147" s="310" t="s">
        <v>274</v>
      </c>
      <c r="D147" s="306"/>
      <c r="E147" s="306">
        <v>2</v>
      </c>
      <c r="F147" s="307">
        <v>3</v>
      </c>
      <c r="G147" s="307">
        <v>7</v>
      </c>
      <c r="H147" s="308">
        <v>20</v>
      </c>
      <c r="I147" s="307">
        <v>5</v>
      </c>
      <c r="J147" s="307">
        <v>5</v>
      </c>
      <c r="K147" s="308">
        <v>20</v>
      </c>
      <c r="L147" s="307" t="s">
        <v>515</v>
      </c>
      <c r="M147" s="307" t="s">
        <v>515</v>
      </c>
      <c r="N147" s="308"/>
      <c r="O147" s="307" t="s">
        <v>515</v>
      </c>
      <c r="P147" s="307" t="s">
        <v>515</v>
      </c>
      <c r="Q147" s="308"/>
      <c r="R147" s="307" t="s">
        <v>515</v>
      </c>
      <c r="S147" s="307" t="s">
        <v>515</v>
      </c>
      <c r="T147" s="308"/>
      <c r="U147" s="309">
        <v>40</v>
      </c>
      <c r="V147" s="147"/>
      <c r="W147" s="7"/>
      <c r="X147" s="7"/>
      <c r="Z147" s="8" t="e">
        <f>Z109+#REF!</f>
        <v>#REF!</v>
      </c>
      <c r="AA147" s="8" t="e">
        <f>AA109+#REF!</f>
        <v>#REF!</v>
      </c>
      <c r="AB147" s="8" t="e">
        <f>AB109+#REF!</f>
        <v>#REF!</v>
      </c>
      <c r="AC147" s="8" t="e">
        <f>AC109+#REF!</f>
        <v>#REF!</v>
      </c>
      <c r="AD147" s="8" t="e">
        <f>AD109+#REF!</f>
        <v>#REF!</v>
      </c>
      <c r="AE147" s="8" t="e">
        <f>AE109+#REF!</f>
        <v>#REF!</v>
      </c>
      <c r="AF147" s="8"/>
      <c r="AG147" s="8"/>
      <c r="AH147" s="8"/>
      <c r="AI147" s="9"/>
      <c r="AJ147" s="8" t="e">
        <f>SUM(AA147:AG147)</f>
        <v>#REF!</v>
      </c>
    </row>
    <row r="148" spans="2:36" ht="13" x14ac:dyDescent="0.3">
      <c r="B148" s="305"/>
      <c r="C148" s="305" t="s">
        <v>309</v>
      </c>
      <c r="D148" s="306"/>
      <c r="E148" s="306">
        <v>2</v>
      </c>
      <c r="F148" s="307">
        <v>0</v>
      </c>
      <c r="G148" s="307">
        <v>3</v>
      </c>
      <c r="H148" s="308">
        <v>6</v>
      </c>
      <c r="I148" s="307" t="s">
        <v>213</v>
      </c>
      <c r="J148" s="307" t="s">
        <v>213</v>
      </c>
      <c r="K148" s="308"/>
      <c r="L148" s="307">
        <v>3</v>
      </c>
      <c r="M148" s="307">
        <v>7</v>
      </c>
      <c r="N148" s="308">
        <v>30</v>
      </c>
      <c r="O148" s="307" t="s">
        <v>515</v>
      </c>
      <c r="P148" s="307" t="s">
        <v>515</v>
      </c>
      <c r="Q148" s="308"/>
      <c r="R148" s="307" t="s">
        <v>515</v>
      </c>
      <c r="S148" s="307" t="s">
        <v>515</v>
      </c>
      <c r="T148" s="308"/>
      <c r="U148" s="309">
        <v>36</v>
      </c>
      <c r="V148" s="147"/>
      <c r="W148" s="127"/>
      <c r="X148" s="148"/>
      <c r="Y148" s="262"/>
      <c r="Z148" s="8"/>
      <c r="AA148" s="8"/>
      <c r="AB148" s="8"/>
      <c r="AC148" s="8"/>
      <c r="AD148" s="8"/>
      <c r="AE148" s="8"/>
      <c r="AF148" s="8"/>
      <c r="AG148" s="8"/>
      <c r="AH148" s="8"/>
      <c r="AI148" s="158"/>
      <c r="AJ148" s="8"/>
    </row>
    <row r="149" spans="2:36" ht="13" x14ac:dyDescent="0.3">
      <c r="B149" s="305"/>
      <c r="C149" s="305" t="s">
        <v>253</v>
      </c>
      <c r="D149" s="306"/>
      <c r="E149" s="306">
        <v>2</v>
      </c>
      <c r="F149" s="307">
        <v>4</v>
      </c>
      <c r="G149" s="307">
        <v>9</v>
      </c>
      <c r="H149" s="308">
        <v>26</v>
      </c>
      <c r="I149" s="307" t="s">
        <v>213</v>
      </c>
      <c r="J149" s="307" t="s">
        <v>213</v>
      </c>
      <c r="K149" s="308"/>
      <c r="L149" s="307" t="s">
        <v>515</v>
      </c>
      <c r="M149" s="307" t="s">
        <v>515</v>
      </c>
      <c r="N149" s="308"/>
      <c r="O149" s="307" t="s">
        <v>515</v>
      </c>
      <c r="P149" s="307" t="s">
        <v>515</v>
      </c>
      <c r="Q149" s="308"/>
      <c r="R149" s="307" t="s">
        <v>515</v>
      </c>
      <c r="S149" s="307" t="s">
        <v>515</v>
      </c>
      <c r="T149" s="308"/>
      <c r="U149" s="309">
        <v>26</v>
      </c>
      <c r="V149" s="147"/>
      <c r="W149" s="127"/>
      <c r="X149" s="148"/>
      <c r="Y149" s="262"/>
      <c r="Z149" s="8"/>
      <c r="AA149" s="8"/>
      <c r="AB149" s="8"/>
      <c r="AC149" s="8"/>
      <c r="AD149" s="8"/>
      <c r="AE149" s="8"/>
      <c r="AF149" s="8"/>
      <c r="AG149" s="8"/>
      <c r="AH149" s="8"/>
      <c r="AI149" s="158"/>
      <c r="AJ149" s="8"/>
    </row>
    <row r="150" spans="2:36" ht="13" x14ac:dyDescent="0.3">
      <c r="B150" s="305"/>
      <c r="C150" s="305" t="s">
        <v>374</v>
      </c>
      <c r="D150" s="306"/>
      <c r="E150" s="306">
        <v>2</v>
      </c>
      <c r="F150" s="307"/>
      <c r="G150" s="307"/>
      <c r="H150" s="308"/>
      <c r="I150" s="307"/>
      <c r="J150" s="307"/>
      <c r="K150" s="308"/>
      <c r="L150" s="307">
        <v>1</v>
      </c>
      <c r="M150" s="307">
        <v>7</v>
      </c>
      <c r="N150" s="308">
        <v>24</v>
      </c>
      <c r="O150" s="307">
        <v>0</v>
      </c>
      <c r="P150" s="307">
        <v>0</v>
      </c>
      <c r="Q150" s="308">
        <v>0</v>
      </c>
      <c r="R150" s="307" t="s">
        <v>515</v>
      </c>
      <c r="S150" s="307" t="s">
        <v>515</v>
      </c>
      <c r="T150" s="308"/>
      <c r="U150" s="309">
        <v>24</v>
      </c>
      <c r="V150" s="147"/>
      <c r="W150" s="127"/>
      <c r="X150" s="148"/>
      <c r="Y150" s="262"/>
      <c r="Z150" s="8"/>
      <c r="AA150" s="8"/>
      <c r="AB150" s="8"/>
      <c r="AC150" s="8"/>
      <c r="AD150" s="8"/>
      <c r="AE150" s="8"/>
      <c r="AF150" s="8"/>
      <c r="AG150" s="8"/>
      <c r="AH150" s="8"/>
      <c r="AI150" s="158"/>
      <c r="AJ150" s="8"/>
    </row>
    <row r="151" spans="2:36" ht="13" x14ac:dyDescent="0.3">
      <c r="B151" s="305"/>
      <c r="C151" s="305" t="s">
        <v>320</v>
      </c>
      <c r="D151" s="306"/>
      <c r="E151" s="306">
        <v>2</v>
      </c>
      <c r="F151" s="307">
        <v>0</v>
      </c>
      <c r="G151" s="307">
        <v>0</v>
      </c>
      <c r="H151" s="308">
        <v>0</v>
      </c>
      <c r="I151" s="307" t="s">
        <v>213</v>
      </c>
      <c r="J151" s="307" t="s">
        <v>213</v>
      </c>
      <c r="K151" s="308"/>
      <c r="L151" s="307" t="s">
        <v>515</v>
      </c>
      <c r="M151" s="307" t="s">
        <v>515</v>
      </c>
      <c r="N151" s="308"/>
      <c r="O151" s="307">
        <v>0</v>
      </c>
      <c r="P151" s="307">
        <v>9</v>
      </c>
      <c r="Q151" s="308">
        <v>18</v>
      </c>
      <c r="R151" s="307" t="s">
        <v>515</v>
      </c>
      <c r="S151" s="307" t="s">
        <v>515</v>
      </c>
      <c r="T151" s="308"/>
      <c r="U151" s="309">
        <v>18</v>
      </c>
      <c r="V151" s="147"/>
      <c r="W151" s="127"/>
      <c r="X151" s="148"/>
      <c r="Y151" s="262"/>
      <c r="Z151" s="8"/>
      <c r="AA151" s="8"/>
      <c r="AB151" s="8"/>
      <c r="AC151" s="8"/>
      <c r="AD151" s="8"/>
      <c r="AE151" s="8"/>
      <c r="AF151" s="8"/>
      <c r="AG151" s="8"/>
      <c r="AH151" s="8"/>
      <c r="AI151" s="158"/>
      <c r="AJ151" s="8"/>
    </row>
    <row r="152" spans="2:36" ht="13" x14ac:dyDescent="0.3">
      <c r="B152" s="305"/>
      <c r="C152" s="305" t="s">
        <v>377</v>
      </c>
      <c r="D152" s="306"/>
      <c r="E152" s="306">
        <v>2</v>
      </c>
      <c r="F152" s="307"/>
      <c r="G152" s="307"/>
      <c r="H152" s="308"/>
      <c r="I152" s="307"/>
      <c r="J152" s="307"/>
      <c r="K152" s="308"/>
      <c r="L152" s="307">
        <v>0</v>
      </c>
      <c r="M152" s="307">
        <v>0</v>
      </c>
      <c r="N152" s="308">
        <v>0</v>
      </c>
      <c r="O152" s="307">
        <v>0</v>
      </c>
      <c r="P152" s="307">
        <v>5</v>
      </c>
      <c r="Q152" s="308">
        <v>10</v>
      </c>
      <c r="R152" s="307" t="s">
        <v>515</v>
      </c>
      <c r="S152" s="307" t="s">
        <v>515</v>
      </c>
      <c r="T152" s="308"/>
      <c r="U152" s="309">
        <v>10</v>
      </c>
      <c r="V152" s="147"/>
      <c r="W152" s="127"/>
      <c r="X152" s="148"/>
      <c r="Y152" s="262"/>
      <c r="Z152" s="8"/>
      <c r="AA152" s="8"/>
      <c r="AB152" s="8"/>
      <c r="AC152" s="8"/>
      <c r="AD152" s="8"/>
      <c r="AE152" s="8"/>
      <c r="AF152" s="8"/>
      <c r="AG152" s="8"/>
      <c r="AH152" s="8"/>
      <c r="AI152" s="158"/>
      <c r="AJ152" s="8"/>
    </row>
    <row r="153" spans="2:36" ht="13" x14ac:dyDescent="0.3">
      <c r="B153" s="305"/>
      <c r="C153" s="305" t="s">
        <v>301</v>
      </c>
      <c r="D153" s="306"/>
      <c r="E153" s="306">
        <v>2</v>
      </c>
      <c r="F153" s="307">
        <v>0</v>
      </c>
      <c r="G153" s="307">
        <v>5</v>
      </c>
      <c r="H153" s="308">
        <v>10</v>
      </c>
      <c r="I153" s="307" t="s">
        <v>213</v>
      </c>
      <c r="J153" s="307" t="s">
        <v>213</v>
      </c>
      <c r="K153" s="308"/>
      <c r="L153" s="307" t="s">
        <v>515</v>
      </c>
      <c r="M153" s="307" t="s">
        <v>515</v>
      </c>
      <c r="N153" s="308"/>
      <c r="O153" s="307">
        <v>0</v>
      </c>
      <c r="P153" s="307">
        <v>0</v>
      </c>
      <c r="Q153" s="308">
        <v>0</v>
      </c>
      <c r="R153" s="307" t="s">
        <v>515</v>
      </c>
      <c r="S153" s="307" t="s">
        <v>515</v>
      </c>
      <c r="T153" s="308"/>
      <c r="U153" s="309">
        <v>10</v>
      </c>
      <c r="V153" s="147"/>
      <c r="W153" s="127"/>
      <c r="X153" s="148"/>
      <c r="Y153" s="262"/>
      <c r="Z153" s="8"/>
      <c r="AA153" s="8"/>
      <c r="AB153" s="8"/>
      <c r="AC153" s="8"/>
      <c r="AD153" s="8"/>
      <c r="AE153" s="8"/>
      <c r="AF153" s="8"/>
      <c r="AG153" s="8"/>
      <c r="AH153" s="8"/>
      <c r="AI153" s="158"/>
      <c r="AJ153" s="8"/>
    </row>
    <row r="154" spans="2:36" ht="13" x14ac:dyDescent="0.3">
      <c r="B154" s="305"/>
      <c r="C154" s="305" t="s">
        <v>318</v>
      </c>
      <c r="D154" s="306"/>
      <c r="E154" s="306">
        <v>2</v>
      </c>
      <c r="F154" s="307">
        <v>0</v>
      </c>
      <c r="G154" s="307">
        <v>0</v>
      </c>
      <c r="H154" s="308">
        <v>0</v>
      </c>
      <c r="I154" s="307" t="s">
        <v>213</v>
      </c>
      <c r="J154" s="307" t="s">
        <v>213</v>
      </c>
      <c r="K154" s="308"/>
      <c r="L154" s="307" t="s">
        <v>515</v>
      </c>
      <c r="M154" s="307" t="s">
        <v>515</v>
      </c>
      <c r="N154" s="308"/>
      <c r="O154" s="307" t="s">
        <v>515</v>
      </c>
      <c r="P154" s="307" t="s">
        <v>515</v>
      </c>
      <c r="Q154" s="308"/>
      <c r="R154" s="307" t="s">
        <v>515</v>
      </c>
      <c r="S154" s="307" t="s">
        <v>515</v>
      </c>
      <c r="T154" s="308"/>
      <c r="U154" s="309">
        <v>0</v>
      </c>
      <c r="V154" s="147"/>
      <c r="W154" s="127"/>
      <c r="X154" s="148"/>
      <c r="Y154" s="262"/>
      <c r="Z154" s="8"/>
      <c r="AA154" s="8"/>
      <c r="AB154" s="8"/>
      <c r="AC154" s="8"/>
      <c r="AD154" s="8"/>
      <c r="AE154" s="8"/>
      <c r="AF154" s="8"/>
      <c r="AG154" s="8"/>
      <c r="AH154" s="8"/>
      <c r="AI154" s="158"/>
      <c r="AJ154" s="8"/>
    </row>
    <row r="155" spans="2:36" ht="12" x14ac:dyDescent="0.3">
      <c r="B155" s="305"/>
      <c r="C155" s="305" t="s">
        <v>376</v>
      </c>
      <c r="D155" s="306"/>
      <c r="E155" s="306">
        <v>4</v>
      </c>
      <c r="F155" s="307"/>
      <c r="G155" s="307"/>
      <c r="H155" s="308"/>
      <c r="I155" s="307"/>
      <c r="J155" s="307"/>
      <c r="K155" s="308"/>
      <c r="L155" s="307">
        <v>0</v>
      </c>
      <c r="M155" s="307">
        <v>0</v>
      </c>
      <c r="N155" s="308">
        <v>0</v>
      </c>
      <c r="O155" s="307">
        <v>0</v>
      </c>
      <c r="P155" s="307">
        <v>0</v>
      </c>
      <c r="Q155" s="308">
        <v>0</v>
      </c>
      <c r="R155" s="307" t="s">
        <v>515</v>
      </c>
      <c r="S155" s="307" t="s">
        <v>515</v>
      </c>
      <c r="T155" s="308"/>
      <c r="U155" s="309">
        <v>0</v>
      </c>
      <c r="V155" s="147"/>
      <c r="W155" s="7"/>
      <c r="X155" s="7"/>
      <c r="Z155" s="8" t="e">
        <f>Z117+#REF!</f>
        <v>#REF!</v>
      </c>
      <c r="AA155" s="8" t="e">
        <f>AA117+#REF!</f>
        <v>#REF!</v>
      </c>
      <c r="AB155" s="8" t="e">
        <f>AB117+#REF!</f>
        <v>#REF!</v>
      </c>
      <c r="AC155" s="8" t="e">
        <f>AC117+#REF!</f>
        <v>#REF!</v>
      </c>
      <c r="AD155" s="8" t="e">
        <f>AD117+#REF!</f>
        <v>#REF!</v>
      </c>
      <c r="AE155" s="8" t="e">
        <f>AE117+#REF!</f>
        <v>#REF!</v>
      </c>
      <c r="AF155" s="8"/>
      <c r="AG155" s="8"/>
      <c r="AH155" s="8"/>
      <c r="AI155" s="9"/>
      <c r="AJ155" s="8" t="e">
        <f>SUM(AA155:AG155)</f>
        <v>#REF!</v>
      </c>
    </row>
    <row r="156" spans="2:36" ht="13" x14ac:dyDescent="0.3">
      <c r="B156" s="155"/>
      <c r="F156" s="155"/>
      <c r="G156" s="155"/>
      <c r="H156" s="155"/>
      <c r="I156" s="155"/>
      <c r="J156" s="155"/>
      <c r="K156" s="155"/>
      <c r="L156" s="155"/>
      <c r="M156" s="155"/>
      <c r="N156" s="155"/>
      <c r="O156" s="155"/>
      <c r="P156" s="155"/>
      <c r="Q156" s="155"/>
      <c r="R156" s="155"/>
      <c r="S156" s="155"/>
      <c r="T156" s="155"/>
      <c r="U156" s="155"/>
      <c r="V156" s="147"/>
      <c r="W156" s="127"/>
      <c r="X156" s="148"/>
      <c r="Y156" s="262"/>
      <c r="Z156" s="8"/>
      <c r="AA156" s="8"/>
      <c r="AB156" s="8"/>
      <c r="AC156" s="8"/>
      <c r="AD156" s="8"/>
      <c r="AE156" s="8"/>
      <c r="AF156" s="8"/>
      <c r="AG156" s="8"/>
      <c r="AH156" s="8"/>
      <c r="AI156" s="158"/>
      <c r="AJ156" s="8"/>
    </row>
    <row r="157" spans="2:36" ht="12" x14ac:dyDescent="0.3">
      <c r="B157" s="155"/>
      <c r="C157" s="236"/>
      <c r="D157" s="155"/>
      <c r="E157" s="155"/>
      <c r="F157" s="147"/>
      <c r="G157" s="147"/>
      <c r="H157" s="147"/>
      <c r="I157" s="147"/>
      <c r="J157" s="147"/>
      <c r="K157" s="147"/>
      <c r="L157" s="147"/>
      <c r="M157" s="147"/>
      <c r="N157" s="147"/>
      <c r="O157" s="147"/>
      <c r="P157" s="147"/>
      <c r="Q157" s="147"/>
      <c r="R157" s="147"/>
      <c r="S157" s="147"/>
      <c r="T157" s="147"/>
      <c r="U157" s="147"/>
      <c r="V157" s="147"/>
      <c r="W157" s="7"/>
      <c r="X157" s="7"/>
      <c r="Z157" s="8" t="e">
        <f>#REF!+#REF!</f>
        <v>#REF!</v>
      </c>
      <c r="AA157" s="8" t="e">
        <f>#REF!+#REF!</f>
        <v>#REF!</v>
      </c>
      <c r="AB157" s="8" t="e">
        <f>#REF!+#REF!</f>
        <v>#REF!</v>
      </c>
      <c r="AC157" s="8" t="e">
        <f>#REF!+#REF!</f>
        <v>#REF!</v>
      </c>
      <c r="AD157" s="8" t="e">
        <f>#REF!+#REF!</f>
        <v>#REF!</v>
      </c>
      <c r="AE157" s="8" t="e">
        <f>#REF!+#REF!</f>
        <v>#REF!</v>
      </c>
      <c r="AF157" s="8"/>
      <c r="AG157" s="8"/>
      <c r="AH157" s="8"/>
      <c r="AI157" s="9"/>
      <c r="AJ157" s="8" t="e">
        <f>SUM(AA157:AG157)</f>
        <v>#REF!</v>
      </c>
    </row>
    <row r="158" spans="2:36" ht="39" customHeight="1" x14ac:dyDescent="0.55000000000000004">
      <c r="B158" s="164" t="s">
        <v>340</v>
      </c>
      <c r="C158" s="165"/>
      <c r="D158" s="165"/>
      <c r="E158" s="165"/>
      <c r="F158" s="165"/>
      <c r="G158" s="165"/>
      <c r="H158" s="165"/>
      <c r="I158" s="165"/>
      <c r="J158" s="165"/>
      <c r="K158" s="165"/>
      <c r="L158" s="165"/>
      <c r="M158" s="165"/>
      <c r="N158" s="165"/>
      <c r="O158" s="165"/>
      <c r="P158" s="165"/>
      <c r="Q158" s="165"/>
      <c r="R158" s="165"/>
      <c r="S158" s="165"/>
      <c r="T158" s="165"/>
      <c r="U158" s="165"/>
    </row>
    <row r="159" spans="2:36" ht="37.5" customHeight="1" x14ac:dyDescent="0.3">
      <c r="B159" s="302" t="s">
        <v>472</v>
      </c>
      <c r="C159" s="303"/>
      <c r="D159" s="303"/>
      <c r="E159" s="303"/>
      <c r="F159" s="303"/>
      <c r="G159" s="303"/>
      <c r="H159" s="303"/>
      <c r="I159" s="303"/>
      <c r="J159" s="303"/>
      <c r="K159" s="303"/>
      <c r="L159" s="303"/>
      <c r="M159" s="303"/>
      <c r="N159" s="303"/>
      <c r="O159" s="303"/>
      <c r="P159" s="303"/>
      <c r="Q159" s="303"/>
      <c r="R159" s="303"/>
      <c r="S159" s="303"/>
      <c r="T159" s="303"/>
      <c r="U159" s="303"/>
      <c r="V159" s="30"/>
      <c r="W159" s="30"/>
    </row>
    <row r="160" spans="2:36" ht="12.75" customHeight="1" x14ac:dyDescent="0.3">
      <c r="B160" s="327"/>
      <c r="C160" s="330"/>
      <c r="D160" s="333"/>
      <c r="E160" s="333"/>
      <c r="F160" s="336" t="s">
        <v>220</v>
      </c>
      <c r="G160" s="337"/>
      <c r="H160" s="338"/>
      <c r="I160" s="336" t="s">
        <v>221</v>
      </c>
      <c r="J160" s="342"/>
      <c r="K160" s="343"/>
      <c r="L160" s="336" t="s">
        <v>390</v>
      </c>
      <c r="M160" s="342"/>
      <c r="N160" s="343"/>
      <c r="O160" s="336" t="s">
        <v>287</v>
      </c>
      <c r="P160" s="342"/>
      <c r="Q160" s="343"/>
      <c r="R160" s="336" t="s">
        <v>222</v>
      </c>
      <c r="S160" s="342"/>
      <c r="T160" s="343"/>
      <c r="U160" s="333" t="s">
        <v>213</v>
      </c>
      <c r="V160" s="30"/>
      <c r="W160" s="30"/>
    </row>
    <row r="161" spans="2:25" ht="12.75" customHeight="1" x14ac:dyDescent="0.3">
      <c r="B161" s="328" t="s">
        <v>0</v>
      </c>
      <c r="C161" s="331" t="s">
        <v>1</v>
      </c>
      <c r="D161" s="334" t="s">
        <v>2</v>
      </c>
      <c r="E161" s="334" t="s">
        <v>3</v>
      </c>
      <c r="F161" s="339" t="s">
        <v>288</v>
      </c>
      <c r="G161" s="340"/>
      <c r="H161" s="341"/>
      <c r="I161" s="339" t="s">
        <v>289</v>
      </c>
      <c r="J161" s="344"/>
      <c r="K161" s="345"/>
      <c r="L161" s="339" t="s">
        <v>290</v>
      </c>
      <c r="M161" s="344"/>
      <c r="N161" s="345"/>
      <c r="O161" s="339" t="s">
        <v>291</v>
      </c>
      <c r="P161" s="344"/>
      <c r="Q161" s="345"/>
      <c r="R161" s="339" t="s">
        <v>292</v>
      </c>
      <c r="S161" s="344"/>
      <c r="T161" s="345"/>
      <c r="U161" s="334" t="s">
        <v>9</v>
      </c>
      <c r="V161" s="519" t="s">
        <v>223</v>
      </c>
      <c r="W161" s="521" t="s">
        <v>4</v>
      </c>
    </row>
    <row r="162" spans="2:25" ht="12.75" customHeight="1" x14ac:dyDescent="0.3">
      <c r="B162" s="329"/>
      <c r="C162" s="332"/>
      <c r="D162" s="335"/>
      <c r="E162" s="335"/>
      <c r="F162" s="325" t="s">
        <v>33</v>
      </c>
      <c r="G162" s="325" t="s">
        <v>34</v>
      </c>
      <c r="H162" s="326" t="s">
        <v>35</v>
      </c>
      <c r="I162" s="325" t="s">
        <v>33</v>
      </c>
      <c r="J162" s="325" t="s">
        <v>34</v>
      </c>
      <c r="K162" s="326" t="s">
        <v>35</v>
      </c>
      <c r="L162" s="325" t="s">
        <v>33</v>
      </c>
      <c r="M162" s="325" t="s">
        <v>34</v>
      </c>
      <c r="N162" s="326" t="s">
        <v>35</v>
      </c>
      <c r="O162" s="325" t="s">
        <v>33</v>
      </c>
      <c r="P162" s="325" t="s">
        <v>34</v>
      </c>
      <c r="Q162" s="326" t="s">
        <v>35</v>
      </c>
      <c r="R162" s="325" t="s">
        <v>33</v>
      </c>
      <c r="S162" s="325" t="s">
        <v>34</v>
      </c>
      <c r="T162" s="326" t="s">
        <v>35</v>
      </c>
      <c r="U162" s="335"/>
      <c r="V162" s="520"/>
      <c r="W162" s="522"/>
    </row>
    <row r="163" spans="2:25" ht="12.75" customHeight="1" x14ac:dyDescent="0.3">
      <c r="B163" s="319">
        <v>1</v>
      </c>
      <c r="C163" s="320" t="s">
        <v>257</v>
      </c>
      <c r="D163" s="321">
        <v>6</v>
      </c>
      <c r="E163" s="349"/>
      <c r="F163" s="322">
        <v>17</v>
      </c>
      <c r="G163" s="322">
        <v>9</v>
      </c>
      <c r="H163" s="323">
        <v>52</v>
      </c>
      <c r="I163" s="322">
        <v>0</v>
      </c>
      <c r="J163" s="350">
        <v>0</v>
      </c>
      <c r="K163" s="323">
        <v>0</v>
      </c>
      <c r="L163" s="322">
        <v>17</v>
      </c>
      <c r="M163" s="322">
        <v>9</v>
      </c>
      <c r="N163" s="323">
        <v>78</v>
      </c>
      <c r="O163" s="322">
        <v>17</v>
      </c>
      <c r="P163" s="322">
        <v>9</v>
      </c>
      <c r="Q163" s="323">
        <v>52</v>
      </c>
      <c r="R163" s="322">
        <v>17</v>
      </c>
      <c r="S163" s="322">
        <v>9</v>
      </c>
      <c r="T163" s="323">
        <v>26</v>
      </c>
      <c r="U163" s="324">
        <v>208</v>
      </c>
      <c r="V163" s="140" t="str">
        <f>IF(W163&gt;=3,"Sí","No")</f>
        <v>Sí</v>
      </c>
      <c r="W163" s="141">
        <f>COUNTA(H163,K163,N163,Q163,T163)</f>
        <v>5</v>
      </c>
    </row>
    <row r="164" spans="2:25" ht="12.75" customHeight="1" x14ac:dyDescent="0.3">
      <c r="B164" s="304">
        <v>2</v>
      </c>
      <c r="C164" s="305" t="s">
        <v>256</v>
      </c>
      <c r="D164" s="306">
        <v>6</v>
      </c>
      <c r="E164" s="313"/>
      <c r="F164" s="307">
        <v>0</v>
      </c>
      <c r="G164" s="307">
        <v>0</v>
      </c>
      <c r="H164" s="308">
        <v>0</v>
      </c>
      <c r="I164" s="307" t="s">
        <v>213</v>
      </c>
      <c r="J164" s="307" t="s">
        <v>213</v>
      </c>
      <c r="K164" s="308"/>
      <c r="L164" s="307">
        <v>20</v>
      </c>
      <c r="M164" s="307">
        <v>12</v>
      </c>
      <c r="N164" s="308">
        <v>96</v>
      </c>
      <c r="O164" s="307">
        <v>20</v>
      </c>
      <c r="P164" s="307">
        <v>12</v>
      </c>
      <c r="Q164" s="308">
        <v>64</v>
      </c>
      <c r="R164" s="307">
        <v>20</v>
      </c>
      <c r="S164" s="307">
        <v>12</v>
      </c>
      <c r="T164" s="308">
        <v>32</v>
      </c>
      <c r="U164" s="309">
        <v>192</v>
      </c>
      <c r="V164" s="140" t="str">
        <f>IF(W164&gt;=3,"Sí","No")</f>
        <v>Sí</v>
      </c>
      <c r="W164" s="141">
        <f>COUNTA(H164,K164,N164,Q164,T164)</f>
        <v>4</v>
      </c>
    </row>
    <row r="165" spans="2:25" ht="12.75" customHeight="1" x14ac:dyDescent="0.3">
      <c r="B165" s="304">
        <v>3</v>
      </c>
      <c r="C165" s="305" t="s">
        <v>325</v>
      </c>
      <c r="D165" s="306">
        <v>6</v>
      </c>
      <c r="E165" s="313"/>
      <c r="F165" s="307">
        <v>20</v>
      </c>
      <c r="G165" s="307">
        <v>12</v>
      </c>
      <c r="H165" s="308">
        <v>64</v>
      </c>
      <c r="I165" s="307" t="s">
        <v>213</v>
      </c>
      <c r="J165" s="307" t="s">
        <v>213</v>
      </c>
      <c r="K165" s="308"/>
      <c r="L165" s="307">
        <v>14</v>
      </c>
      <c r="M165" s="307">
        <v>7</v>
      </c>
      <c r="N165" s="308">
        <v>63</v>
      </c>
      <c r="O165" s="307">
        <v>14</v>
      </c>
      <c r="P165" s="307">
        <v>7</v>
      </c>
      <c r="Q165" s="308">
        <v>42</v>
      </c>
      <c r="R165" s="307">
        <v>14</v>
      </c>
      <c r="S165" s="307">
        <v>7</v>
      </c>
      <c r="T165" s="308">
        <v>21</v>
      </c>
      <c r="U165" s="309">
        <v>190</v>
      </c>
      <c r="V165" s="140" t="str">
        <f>IF(W165&gt;=3,"Sí","No")</f>
        <v>Sí</v>
      </c>
      <c r="W165" s="141">
        <f>COUNTA(H165,K165,N165,Q165,T165)</f>
        <v>4</v>
      </c>
    </row>
    <row r="166" spans="2:25" ht="12" x14ac:dyDescent="0.3">
      <c r="B166" s="155"/>
      <c r="C166" s="155"/>
      <c r="D166" s="155"/>
      <c r="E166" s="155"/>
      <c r="F166" s="155"/>
      <c r="G166" s="155"/>
      <c r="H166" s="155"/>
      <c r="I166" s="155"/>
      <c r="J166" s="155"/>
      <c r="K166" s="155"/>
      <c r="L166" s="155"/>
      <c r="M166" s="155"/>
      <c r="N166" s="155"/>
      <c r="O166" s="155"/>
      <c r="P166" s="155"/>
      <c r="Q166" s="155"/>
      <c r="R166" s="155"/>
      <c r="S166" s="155"/>
      <c r="T166" s="155"/>
      <c r="U166" s="155"/>
      <c r="V166" s="149"/>
    </row>
    <row r="167" spans="2:25" ht="12.75" customHeight="1" x14ac:dyDescent="0.3">
      <c r="B167" s="1"/>
      <c r="C167" s="235"/>
      <c r="D167" s="311"/>
      <c r="E167" s="285" t="s">
        <v>462</v>
      </c>
      <c r="F167" s="147"/>
      <c r="G167" s="147"/>
      <c r="H167" s="147"/>
      <c r="I167" s="147"/>
      <c r="J167" s="147"/>
      <c r="K167" s="147"/>
      <c r="L167" s="147"/>
      <c r="M167" s="147"/>
      <c r="N167" s="147"/>
      <c r="O167" s="147"/>
      <c r="P167" s="147"/>
      <c r="Q167" s="147"/>
      <c r="R167" s="147"/>
      <c r="S167" s="147"/>
      <c r="T167" s="147"/>
      <c r="U167" s="147"/>
      <c r="V167" s="147"/>
      <c r="W167" s="147"/>
      <c r="X167" s="148"/>
      <c r="Y167" s="262"/>
    </row>
    <row r="168" spans="2:25" ht="12" x14ac:dyDescent="0.3">
      <c r="B168" s="155"/>
      <c r="C168" s="155"/>
      <c r="D168" s="155"/>
      <c r="E168" s="155"/>
      <c r="F168" s="155"/>
      <c r="G168" s="155"/>
      <c r="H168" s="155"/>
      <c r="I168" s="155"/>
      <c r="J168" s="155"/>
      <c r="K168" s="155"/>
      <c r="L168" s="155"/>
      <c r="M168" s="155"/>
      <c r="N168" s="155"/>
      <c r="O168" s="155"/>
      <c r="P168" s="155"/>
      <c r="Q168" s="155"/>
      <c r="R168" s="155"/>
      <c r="S168" s="155"/>
      <c r="T168" s="155"/>
      <c r="U168" s="155"/>
    </row>
    <row r="169" spans="2:25" x14ac:dyDescent="0.3">
      <c r="B169" s="301" t="s">
        <v>466</v>
      </c>
      <c r="C169" s="156"/>
      <c r="D169" s="2"/>
      <c r="E169" s="2"/>
      <c r="F169" s="2"/>
      <c r="G169" s="2"/>
      <c r="H169" s="3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2:25" ht="19.5" x14ac:dyDescent="0.3">
      <c r="B170" s="327"/>
      <c r="C170" s="330"/>
      <c r="D170" s="333"/>
      <c r="E170" s="333"/>
      <c r="F170" s="336" t="s">
        <v>220</v>
      </c>
      <c r="G170" s="337"/>
      <c r="H170" s="338"/>
      <c r="I170" s="336" t="s">
        <v>221</v>
      </c>
      <c r="J170" s="342"/>
      <c r="K170" s="343"/>
      <c r="L170" s="336" t="s">
        <v>390</v>
      </c>
      <c r="M170" s="342"/>
      <c r="N170" s="343"/>
      <c r="O170" s="336" t="s">
        <v>287</v>
      </c>
      <c r="P170" s="342"/>
      <c r="Q170" s="343"/>
      <c r="R170" s="336" t="s">
        <v>222</v>
      </c>
      <c r="S170" s="342"/>
      <c r="T170" s="343"/>
      <c r="U170" s="333" t="s">
        <v>213</v>
      </c>
    </row>
    <row r="171" spans="2:25" ht="15.5" x14ac:dyDescent="0.3">
      <c r="B171" s="328" t="s">
        <v>0</v>
      </c>
      <c r="C171" s="331" t="s">
        <v>1</v>
      </c>
      <c r="D171" s="334" t="s">
        <v>2</v>
      </c>
      <c r="E171" s="334" t="s">
        <v>3</v>
      </c>
      <c r="F171" s="339" t="s">
        <v>288</v>
      </c>
      <c r="G171" s="340"/>
      <c r="H171" s="341"/>
      <c r="I171" s="339" t="s">
        <v>289</v>
      </c>
      <c r="J171" s="344"/>
      <c r="K171" s="345"/>
      <c r="L171" s="339" t="s">
        <v>290</v>
      </c>
      <c r="M171" s="344"/>
      <c r="N171" s="345"/>
      <c r="O171" s="339" t="s">
        <v>291</v>
      </c>
      <c r="P171" s="344"/>
      <c r="Q171" s="345"/>
      <c r="R171" s="339" t="s">
        <v>292</v>
      </c>
      <c r="S171" s="344"/>
      <c r="T171" s="345"/>
      <c r="U171" s="334" t="s">
        <v>9</v>
      </c>
    </row>
    <row r="172" spans="2:25" ht="13" x14ac:dyDescent="0.3">
      <c r="B172" s="329"/>
      <c r="C172" s="332"/>
      <c r="D172" s="335"/>
      <c r="E172" s="335"/>
      <c r="F172" s="325" t="s">
        <v>33</v>
      </c>
      <c r="G172" s="325" t="s">
        <v>34</v>
      </c>
      <c r="H172" s="326" t="s">
        <v>35</v>
      </c>
      <c r="I172" s="325" t="s">
        <v>33</v>
      </c>
      <c r="J172" s="325" t="s">
        <v>34</v>
      </c>
      <c r="K172" s="326" t="s">
        <v>35</v>
      </c>
      <c r="L172" s="325" t="s">
        <v>33</v>
      </c>
      <c r="M172" s="325" t="s">
        <v>34</v>
      </c>
      <c r="N172" s="326" t="s">
        <v>35</v>
      </c>
      <c r="O172" s="325" t="s">
        <v>33</v>
      </c>
      <c r="P172" s="325" t="s">
        <v>34</v>
      </c>
      <c r="Q172" s="326" t="s">
        <v>35</v>
      </c>
      <c r="R172" s="325" t="s">
        <v>33</v>
      </c>
      <c r="S172" s="325" t="s">
        <v>34</v>
      </c>
      <c r="T172" s="326" t="s">
        <v>35</v>
      </c>
      <c r="U172" s="335"/>
    </row>
    <row r="173" spans="2:25" ht="12" x14ac:dyDescent="0.3">
      <c r="B173" s="320"/>
      <c r="C173" s="320" t="s">
        <v>259</v>
      </c>
      <c r="D173" s="321">
        <v>6</v>
      </c>
      <c r="E173" s="349"/>
      <c r="F173" s="322">
        <v>0</v>
      </c>
      <c r="G173" s="322">
        <v>0</v>
      </c>
      <c r="H173" s="323">
        <v>0</v>
      </c>
      <c r="I173" s="322">
        <v>20</v>
      </c>
      <c r="J173" s="350">
        <v>6</v>
      </c>
      <c r="K173" s="323">
        <v>52</v>
      </c>
      <c r="L173" s="322" t="s">
        <v>515</v>
      </c>
      <c r="M173" s="322" t="s">
        <v>515</v>
      </c>
      <c r="N173" s="323"/>
      <c r="O173" s="322" t="s">
        <v>515</v>
      </c>
      <c r="P173" s="322" t="s">
        <v>515</v>
      </c>
      <c r="Q173" s="323"/>
      <c r="R173" s="349"/>
      <c r="S173" s="349"/>
      <c r="T173" s="349"/>
      <c r="U173" s="324">
        <v>52</v>
      </c>
    </row>
    <row r="174" spans="2:25" ht="12" x14ac:dyDescent="0.3">
      <c r="B174" s="155"/>
      <c r="C174" s="155"/>
      <c r="D174" s="155"/>
      <c r="E174" s="155"/>
      <c r="F174" s="155"/>
      <c r="G174" s="155"/>
      <c r="H174" s="155"/>
      <c r="I174" s="155"/>
      <c r="J174" s="155"/>
      <c r="K174" s="155"/>
      <c r="L174" s="155"/>
      <c r="M174" s="155"/>
      <c r="N174" s="155"/>
      <c r="O174" s="155"/>
      <c r="P174" s="155"/>
      <c r="Q174" s="155"/>
      <c r="R174" s="155"/>
      <c r="S174" s="155"/>
      <c r="T174" s="155"/>
      <c r="U174" s="155"/>
    </row>
    <row r="175" spans="2:25" ht="12" x14ac:dyDescent="0.3">
      <c r="B175" s="155"/>
      <c r="C175" s="155"/>
      <c r="D175" s="311"/>
      <c r="E175" s="285" t="s">
        <v>462</v>
      </c>
      <c r="F175" s="155"/>
      <c r="G175" s="155"/>
      <c r="H175" s="155"/>
      <c r="I175" s="155"/>
      <c r="J175" s="155"/>
      <c r="K175" s="155"/>
      <c r="L175" s="155"/>
      <c r="M175" s="155"/>
      <c r="N175" s="155"/>
      <c r="O175" s="155"/>
      <c r="P175" s="155"/>
      <c r="Q175" s="155"/>
      <c r="R175" s="155"/>
      <c r="S175" s="155"/>
      <c r="T175" s="155"/>
      <c r="U175" s="155"/>
    </row>
    <row r="176" spans="2:25" ht="12" x14ac:dyDescent="0.3">
      <c r="B176" s="155"/>
      <c r="C176" s="155"/>
      <c r="D176" s="155"/>
      <c r="E176" s="155"/>
      <c r="F176" s="155"/>
      <c r="G176" s="155"/>
      <c r="H176" s="155"/>
      <c r="I176" s="155"/>
      <c r="J176" s="155"/>
      <c r="K176" s="155"/>
      <c r="L176" s="155"/>
      <c r="M176" s="155"/>
      <c r="N176" s="155"/>
      <c r="O176" s="155"/>
      <c r="P176" s="155"/>
      <c r="Q176" s="155"/>
      <c r="R176" s="155"/>
      <c r="S176" s="155"/>
      <c r="T176" s="155"/>
      <c r="U176" s="155"/>
    </row>
    <row r="177" spans="2:25" ht="12" x14ac:dyDescent="0.3">
      <c r="B177" s="155"/>
      <c r="C177" s="155"/>
      <c r="D177" s="155"/>
      <c r="E177" s="155"/>
      <c r="F177" s="155"/>
      <c r="G177" s="155"/>
      <c r="H177" s="155"/>
      <c r="I177" s="155"/>
      <c r="J177" s="155"/>
      <c r="K177" s="155"/>
      <c r="L177" s="155"/>
      <c r="M177" s="155"/>
      <c r="N177" s="155"/>
      <c r="O177" s="155"/>
      <c r="P177" s="155"/>
      <c r="Q177" s="155"/>
      <c r="R177" s="155"/>
      <c r="S177" s="155"/>
      <c r="T177" s="155"/>
      <c r="U177" s="155"/>
    </row>
    <row r="178" spans="2:25" ht="39" customHeight="1" x14ac:dyDescent="0.55000000000000004">
      <c r="B178" s="164" t="s">
        <v>340</v>
      </c>
      <c r="C178" s="165"/>
      <c r="D178" s="165"/>
      <c r="E178" s="165"/>
      <c r="F178" s="165"/>
      <c r="G178" s="165"/>
      <c r="H178" s="165"/>
      <c r="I178" s="165"/>
      <c r="J178" s="165"/>
      <c r="K178" s="165"/>
      <c r="L178" s="165"/>
      <c r="M178" s="165"/>
      <c r="N178" s="165"/>
      <c r="O178" s="165"/>
      <c r="P178" s="165"/>
      <c r="Q178" s="165"/>
      <c r="R178" s="165"/>
      <c r="S178" s="165"/>
      <c r="T178" s="165"/>
      <c r="U178" s="165"/>
    </row>
    <row r="179" spans="2:25" ht="37.5" customHeight="1" x14ac:dyDescent="0.3">
      <c r="B179" s="302" t="s">
        <v>473</v>
      </c>
      <c r="C179" s="303"/>
      <c r="D179" s="303"/>
      <c r="E179" s="303"/>
      <c r="F179" s="303"/>
      <c r="G179" s="303"/>
      <c r="H179" s="303"/>
      <c r="I179" s="303"/>
      <c r="J179" s="303"/>
      <c r="K179" s="303"/>
      <c r="L179" s="303"/>
      <c r="M179" s="303"/>
      <c r="N179" s="303"/>
      <c r="O179" s="303"/>
      <c r="P179" s="303"/>
      <c r="Q179" s="303"/>
      <c r="R179" s="303"/>
      <c r="S179" s="303"/>
      <c r="T179" s="303"/>
      <c r="U179" s="303"/>
      <c r="V179" s="30"/>
      <c r="W179" s="30"/>
    </row>
    <row r="180" spans="2:25" ht="12.75" customHeight="1" x14ac:dyDescent="0.3">
      <c r="B180" s="327"/>
      <c r="C180" s="330"/>
      <c r="D180" s="333"/>
      <c r="E180" s="333"/>
      <c r="F180" s="336" t="s">
        <v>220</v>
      </c>
      <c r="G180" s="337"/>
      <c r="H180" s="338"/>
      <c r="I180" s="336" t="s">
        <v>221</v>
      </c>
      <c r="J180" s="342"/>
      <c r="K180" s="343"/>
      <c r="L180" s="336" t="s">
        <v>390</v>
      </c>
      <c r="M180" s="342"/>
      <c r="N180" s="343"/>
      <c r="O180" s="336" t="s">
        <v>287</v>
      </c>
      <c r="P180" s="342"/>
      <c r="Q180" s="343"/>
      <c r="R180" s="336" t="s">
        <v>222</v>
      </c>
      <c r="S180" s="342"/>
      <c r="T180" s="343"/>
      <c r="U180" s="333" t="s">
        <v>213</v>
      </c>
      <c r="V180" s="30"/>
      <c r="W180" s="30"/>
    </row>
    <row r="181" spans="2:25" ht="12.75" customHeight="1" x14ac:dyDescent="0.3">
      <c r="B181" s="328" t="s">
        <v>0</v>
      </c>
      <c r="C181" s="331" t="s">
        <v>166</v>
      </c>
      <c r="D181" s="334" t="s">
        <v>2</v>
      </c>
      <c r="E181" s="334" t="s">
        <v>3</v>
      </c>
      <c r="F181" s="339" t="s">
        <v>288</v>
      </c>
      <c r="G181" s="340"/>
      <c r="H181" s="341"/>
      <c r="I181" s="339" t="s">
        <v>289</v>
      </c>
      <c r="J181" s="344"/>
      <c r="K181" s="345"/>
      <c r="L181" s="339" t="s">
        <v>290</v>
      </c>
      <c r="M181" s="344"/>
      <c r="N181" s="345"/>
      <c r="O181" s="339" t="s">
        <v>291</v>
      </c>
      <c r="P181" s="344"/>
      <c r="Q181" s="345"/>
      <c r="R181" s="339" t="s">
        <v>292</v>
      </c>
      <c r="S181" s="344"/>
      <c r="T181" s="345"/>
      <c r="U181" s="334" t="s">
        <v>9</v>
      </c>
      <c r="V181" s="519" t="s">
        <v>223</v>
      </c>
      <c r="W181" s="521" t="s">
        <v>4</v>
      </c>
    </row>
    <row r="182" spans="2:25" ht="12.75" customHeight="1" x14ac:dyDescent="0.3">
      <c r="B182" s="329"/>
      <c r="C182" s="332"/>
      <c r="D182" s="335"/>
      <c r="E182" s="335"/>
      <c r="F182" s="325" t="s">
        <v>33</v>
      </c>
      <c r="G182" s="325" t="s">
        <v>34</v>
      </c>
      <c r="H182" s="326" t="s">
        <v>35</v>
      </c>
      <c r="I182" s="325" t="s">
        <v>33</v>
      </c>
      <c r="J182" s="325" t="s">
        <v>34</v>
      </c>
      <c r="K182" s="326" t="s">
        <v>35</v>
      </c>
      <c r="L182" s="325" t="s">
        <v>33</v>
      </c>
      <c r="M182" s="325" t="s">
        <v>34</v>
      </c>
      <c r="N182" s="326" t="s">
        <v>35</v>
      </c>
      <c r="O182" s="325" t="s">
        <v>33</v>
      </c>
      <c r="P182" s="325" t="s">
        <v>34</v>
      </c>
      <c r="Q182" s="326" t="s">
        <v>35</v>
      </c>
      <c r="R182" s="325" t="s">
        <v>33</v>
      </c>
      <c r="S182" s="325" t="s">
        <v>34</v>
      </c>
      <c r="T182" s="326" t="s">
        <v>35</v>
      </c>
      <c r="U182" s="335"/>
      <c r="V182" s="520"/>
      <c r="W182" s="522"/>
    </row>
    <row r="183" spans="2:25" ht="12.75" customHeight="1" x14ac:dyDescent="0.3">
      <c r="B183" s="304">
        <v>1</v>
      </c>
      <c r="C183" s="314" t="s">
        <v>328</v>
      </c>
      <c r="D183" s="306">
        <v>6</v>
      </c>
      <c r="E183" s="307"/>
      <c r="F183" s="307">
        <v>0</v>
      </c>
      <c r="G183" s="307">
        <v>0</v>
      </c>
      <c r="H183" s="308">
        <v>0</v>
      </c>
      <c r="I183" s="307"/>
      <c r="J183" s="307"/>
      <c r="K183" s="308"/>
      <c r="L183" s="307">
        <v>20</v>
      </c>
      <c r="M183" s="307">
        <v>12</v>
      </c>
      <c r="N183" s="308">
        <v>96</v>
      </c>
      <c r="O183" s="307">
        <v>20</v>
      </c>
      <c r="P183" s="307">
        <v>12</v>
      </c>
      <c r="Q183" s="308">
        <v>64</v>
      </c>
      <c r="R183" s="307" t="s">
        <v>515</v>
      </c>
      <c r="S183" s="307"/>
      <c r="T183" s="308"/>
      <c r="U183" s="309">
        <v>160</v>
      </c>
      <c r="V183" s="140" t="str">
        <f>IF(W183&gt;=3,"Sí","No")</f>
        <v>Sí</v>
      </c>
      <c r="W183" s="141">
        <f>COUNTA(H183,K183,N183,Q183,T183)</f>
        <v>3</v>
      </c>
    </row>
    <row r="184" spans="2:25" ht="12.75" customHeight="1" x14ac:dyDescent="0.3">
      <c r="B184" s="304">
        <v>2</v>
      </c>
      <c r="C184" s="314" t="s">
        <v>274</v>
      </c>
      <c r="D184" s="306">
        <v>6</v>
      </c>
      <c r="E184" s="307"/>
      <c r="F184" s="307"/>
      <c r="G184" s="307"/>
      <c r="H184" s="308"/>
      <c r="I184" s="307"/>
      <c r="J184" s="307"/>
      <c r="K184" s="308"/>
      <c r="L184" s="307">
        <v>12</v>
      </c>
      <c r="M184" s="307">
        <v>5</v>
      </c>
      <c r="N184" s="308">
        <v>51</v>
      </c>
      <c r="O184" s="307">
        <v>17</v>
      </c>
      <c r="P184" s="307">
        <v>9</v>
      </c>
      <c r="Q184" s="308">
        <v>52</v>
      </c>
      <c r="R184" s="307">
        <v>9</v>
      </c>
      <c r="S184" s="311">
        <v>4.5</v>
      </c>
      <c r="T184" s="308">
        <v>13.5</v>
      </c>
      <c r="U184" s="315">
        <v>116.5</v>
      </c>
      <c r="V184" s="140" t="str">
        <f>IF(W184&gt;=3,"Sí","No")</f>
        <v>Sí</v>
      </c>
      <c r="W184" s="141">
        <f>COUNTA(H184,K184,N184,Q184,T184)</f>
        <v>3</v>
      </c>
    </row>
    <row r="185" spans="2:25" ht="13" x14ac:dyDescent="0.3">
      <c r="B185" s="304">
        <v>3</v>
      </c>
      <c r="C185" s="314" t="s">
        <v>258</v>
      </c>
      <c r="D185" s="306">
        <v>6</v>
      </c>
      <c r="E185" s="307"/>
      <c r="F185" s="307">
        <v>0</v>
      </c>
      <c r="G185" s="307">
        <v>0</v>
      </c>
      <c r="H185" s="308">
        <v>0</v>
      </c>
      <c r="I185" s="307">
        <v>20</v>
      </c>
      <c r="J185" s="311">
        <v>6</v>
      </c>
      <c r="K185" s="308">
        <v>52</v>
      </c>
      <c r="L185" s="307" t="s">
        <v>515</v>
      </c>
      <c r="M185" s="307" t="s">
        <v>515</v>
      </c>
      <c r="N185" s="308"/>
      <c r="O185" s="307" t="s">
        <v>515</v>
      </c>
      <c r="P185" s="307"/>
      <c r="Q185" s="308"/>
      <c r="R185" s="307">
        <v>12</v>
      </c>
      <c r="S185" s="311">
        <v>6</v>
      </c>
      <c r="T185" s="308">
        <v>18</v>
      </c>
      <c r="U185" s="309">
        <v>70</v>
      </c>
      <c r="V185" s="140" t="str">
        <f>IF(W185&gt;=3,"Sí","No")</f>
        <v>Sí</v>
      </c>
      <c r="W185" s="141">
        <f>COUNTA(H185,K185,N185,Q185,T185)</f>
        <v>3</v>
      </c>
    </row>
    <row r="186" spans="2:25" ht="13" x14ac:dyDescent="0.3">
      <c r="B186" s="152"/>
      <c r="C186" s="153"/>
      <c r="D186" s="154"/>
      <c r="E186" s="154"/>
      <c r="F186" s="154"/>
      <c r="G186" s="154"/>
      <c r="H186" s="146"/>
      <c r="I186" s="154"/>
      <c r="J186" s="154"/>
      <c r="K186" s="155"/>
      <c r="L186" s="155"/>
      <c r="M186" s="155"/>
      <c r="N186" s="155"/>
      <c r="O186" s="155"/>
      <c r="P186" s="4"/>
      <c r="Q186" s="4"/>
      <c r="R186" s="155"/>
      <c r="S186" s="4"/>
      <c r="T186" s="4"/>
      <c r="U186" s="4"/>
      <c r="V186" s="149"/>
      <c r="W186" s="127"/>
    </row>
    <row r="187" spans="2:25" ht="12.75" customHeight="1" x14ac:dyDescent="0.3">
      <c r="B187" s="1"/>
      <c r="C187" s="235"/>
      <c r="D187" s="311"/>
      <c r="E187" s="285" t="s">
        <v>462</v>
      </c>
      <c r="F187" s="147"/>
      <c r="G187" s="147"/>
      <c r="H187" s="147"/>
      <c r="I187" s="147"/>
      <c r="J187" s="147"/>
      <c r="K187" s="147"/>
      <c r="L187" s="147"/>
      <c r="M187" s="147"/>
      <c r="N187" s="147"/>
      <c r="O187" s="147"/>
      <c r="P187" s="147"/>
      <c r="Q187" s="147"/>
      <c r="R187" s="147"/>
      <c r="S187" s="147"/>
      <c r="T187" s="147"/>
      <c r="U187" s="147"/>
      <c r="V187" s="147"/>
      <c r="W187" s="147"/>
      <c r="X187" s="148"/>
      <c r="Y187" s="262"/>
    </row>
    <row r="188" spans="2:25" ht="13" x14ac:dyDescent="0.3">
      <c r="B188" s="152"/>
      <c r="C188" s="153"/>
      <c r="D188" s="154"/>
      <c r="E188" s="154"/>
      <c r="F188" s="154"/>
      <c r="G188" s="154"/>
      <c r="H188" s="146"/>
      <c r="I188" s="154"/>
      <c r="J188" s="154"/>
      <c r="K188" s="155"/>
      <c r="L188" s="155"/>
      <c r="M188" s="155"/>
      <c r="N188" s="155"/>
      <c r="O188" s="155"/>
      <c r="P188" s="155"/>
      <c r="Q188" s="155"/>
      <c r="R188" s="155"/>
      <c r="S188" s="155"/>
      <c r="T188" s="155"/>
      <c r="U188" s="155"/>
      <c r="V188" s="149"/>
      <c r="W188" s="127"/>
    </row>
    <row r="189" spans="2:25" ht="13" x14ac:dyDescent="0.3">
      <c r="B189" s="301" t="s">
        <v>470</v>
      </c>
      <c r="C189" s="156"/>
      <c r="D189" s="2"/>
      <c r="E189" s="2"/>
      <c r="F189" s="2"/>
      <c r="G189" s="2"/>
      <c r="H189" s="3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149"/>
      <c r="W189" s="127"/>
    </row>
    <row r="190" spans="2:25" ht="19.5" x14ac:dyDescent="0.3">
      <c r="B190" s="327"/>
      <c r="C190" s="330"/>
      <c r="D190" s="333"/>
      <c r="E190" s="333"/>
      <c r="F190" s="336" t="s">
        <v>220</v>
      </c>
      <c r="G190" s="337"/>
      <c r="H190" s="338"/>
      <c r="I190" s="336" t="s">
        <v>221</v>
      </c>
      <c r="J190" s="342"/>
      <c r="K190" s="343"/>
      <c r="L190" s="336" t="s">
        <v>390</v>
      </c>
      <c r="M190" s="342"/>
      <c r="N190" s="343"/>
      <c r="O190" s="336" t="s">
        <v>287</v>
      </c>
      <c r="P190" s="342"/>
      <c r="Q190" s="343"/>
      <c r="R190" s="336" t="s">
        <v>222</v>
      </c>
      <c r="S190" s="342"/>
      <c r="T190" s="343"/>
      <c r="U190" s="333" t="s">
        <v>213</v>
      </c>
      <c r="V190" s="149"/>
      <c r="W190" s="127"/>
    </row>
    <row r="191" spans="2:25" ht="15.5" x14ac:dyDescent="0.3">
      <c r="B191" s="328" t="s">
        <v>0</v>
      </c>
      <c r="C191" s="331" t="s">
        <v>166</v>
      </c>
      <c r="D191" s="334" t="s">
        <v>2</v>
      </c>
      <c r="E191" s="334" t="s">
        <v>3</v>
      </c>
      <c r="F191" s="339" t="s">
        <v>288</v>
      </c>
      <c r="G191" s="340"/>
      <c r="H191" s="341"/>
      <c r="I191" s="339" t="s">
        <v>289</v>
      </c>
      <c r="J191" s="344"/>
      <c r="K191" s="345"/>
      <c r="L191" s="339" t="s">
        <v>290</v>
      </c>
      <c r="M191" s="344"/>
      <c r="N191" s="345"/>
      <c r="O191" s="339" t="s">
        <v>291</v>
      </c>
      <c r="P191" s="344"/>
      <c r="Q191" s="345"/>
      <c r="R191" s="339" t="s">
        <v>292</v>
      </c>
      <c r="S191" s="344"/>
      <c r="T191" s="345"/>
      <c r="U191" s="334" t="s">
        <v>9</v>
      </c>
      <c r="V191" s="149"/>
      <c r="W191" s="127"/>
    </row>
    <row r="192" spans="2:25" ht="13" x14ac:dyDescent="0.3">
      <c r="B192" s="329"/>
      <c r="C192" s="332"/>
      <c r="D192" s="335"/>
      <c r="E192" s="335"/>
      <c r="F192" s="325" t="s">
        <v>33</v>
      </c>
      <c r="G192" s="325" t="s">
        <v>34</v>
      </c>
      <c r="H192" s="326" t="s">
        <v>35</v>
      </c>
      <c r="I192" s="325" t="s">
        <v>33</v>
      </c>
      <c r="J192" s="325" t="s">
        <v>34</v>
      </c>
      <c r="K192" s="326" t="s">
        <v>35</v>
      </c>
      <c r="L192" s="325" t="s">
        <v>33</v>
      </c>
      <c r="M192" s="325" t="s">
        <v>34</v>
      </c>
      <c r="N192" s="326" t="s">
        <v>35</v>
      </c>
      <c r="O192" s="325" t="s">
        <v>33</v>
      </c>
      <c r="P192" s="325" t="s">
        <v>34</v>
      </c>
      <c r="Q192" s="326" t="s">
        <v>35</v>
      </c>
      <c r="R192" s="325" t="s">
        <v>33</v>
      </c>
      <c r="S192" s="325" t="s">
        <v>34</v>
      </c>
      <c r="T192" s="326" t="s">
        <v>35</v>
      </c>
      <c r="U192" s="335"/>
      <c r="V192" s="149"/>
      <c r="W192" s="127"/>
    </row>
    <row r="193" spans="2:23" ht="13" x14ac:dyDescent="0.3">
      <c r="B193" s="304"/>
      <c r="C193" s="351" t="s">
        <v>386</v>
      </c>
      <c r="D193" s="321">
        <v>6</v>
      </c>
      <c r="E193" s="322"/>
      <c r="F193" s="322"/>
      <c r="G193" s="322"/>
      <c r="H193" s="323"/>
      <c r="I193" s="322"/>
      <c r="J193" s="322"/>
      <c r="K193" s="323"/>
      <c r="L193" s="322">
        <v>17</v>
      </c>
      <c r="M193" s="322">
        <v>9</v>
      </c>
      <c r="N193" s="323">
        <v>78</v>
      </c>
      <c r="O193" s="322" t="s">
        <v>515</v>
      </c>
      <c r="P193" s="322"/>
      <c r="Q193" s="323"/>
      <c r="R193" s="322" t="s">
        <v>515</v>
      </c>
      <c r="S193" s="322" t="s">
        <v>515</v>
      </c>
      <c r="T193" s="323"/>
      <c r="U193" s="324">
        <v>78</v>
      </c>
      <c r="V193" s="149"/>
      <c r="W193" s="127"/>
    </row>
    <row r="194" spans="2:23" ht="13" x14ac:dyDescent="0.3">
      <c r="B194" s="304"/>
      <c r="C194" s="314" t="s">
        <v>327</v>
      </c>
      <c r="D194" s="306">
        <v>6</v>
      </c>
      <c r="E194" s="307"/>
      <c r="F194" s="307">
        <v>20</v>
      </c>
      <c r="G194" s="307">
        <v>12</v>
      </c>
      <c r="H194" s="308">
        <v>64</v>
      </c>
      <c r="I194" s="307">
        <v>0</v>
      </c>
      <c r="J194" s="311">
        <v>0</v>
      </c>
      <c r="K194" s="308">
        <v>0</v>
      </c>
      <c r="L194" s="307" t="s">
        <v>515</v>
      </c>
      <c r="M194" s="307" t="s">
        <v>515</v>
      </c>
      <c r="N194" s="308"/>
      <c r="O194" s="307" t="s">
        <v>515</v>
      </c>
      <c r="P194" s="307"/>
      <c r="Q194" s="308"/>
      <c r="R194" s="307" t="s">
        <v>515</v>
      </c>
      <c r="S194" s="307" t="s">
        <v>515</v>
      </c>
      <c r="T194" s="308"/>
      <c r="U194" s="309">
        <v>64</v>
      </c>
      <c r="V194" s="149"/>
      <c r="W194" s="127"/>
    </row>
    <row r="195" spans="2:23" ht="13" x14ac:dyDescent="0.3">
      <c r="B195" s="304"/>
      <c r="C195" s="314" t="s">
        <v>387</v>
      </c>
      <c r="D195" s="306">
        <v>6</v>
      </c>
      <c r="E195" s="307"/>
      <c r="F195" s="307"/>
      <c r="G195" s="307"/>
      <c r="H195" s="308"/>
      <c r="I195" s="307"/>
      <c r="J195" s="307"/>
      <c r="K195" s="308"/>
      <c r="L195" s="307">
        <v>14</v>
      </c>
      <c r="M195" s="307">
        <v>7</v>
      </c>
      <c r="N195" s="308">
        <v>63</v>
      </c>
      <c r="O195" s="307" t="s">
        <v>515</v>
      </c>
      <c r="P195" s="307"/>
      <c r="Q195" s="308"/>
      <c r="R195" s="307" t="s">
        <v>515</v>
      </c>
      <c r="S195" s="307" t="s">
        <v>515</v>
      </c>
      <c r="T195" s="308"/>
      <c r="U195" s="309">
        <v>63</v>
      </c>
      <c r="V195" s="149"/>
      <c r="W195" s="127"/>
    </row>
    <row r="196" spans="2:23" ht="13" x14ac:dyDescent="0.3">
      <c r="B196" s="304"/>
      <c r="C196" s="314" t="s">
        <v>388</v>
      </c>
      <c r="D196" s="306">
        <v>6</v>
      </c>
      <c r="E196" s="307"/>
      <c r="F196" s="307"/>
      <c r="G196" s="307"/>
      <c r="H196" s="308"/>
      <c r="I196" s="307"/>
      <c r="J196" s="307"/>
      <c r="K196" s="308"/>
      <c r="L196" s="307">
        <v>0</v>
      </c>
      <c r="M196" s="307">
        <v>0</v>
      </c>
      <c r="N196" s="308">
        <v>0</v>
      </c>
      <c r="O196" s="307">
        <v>0</v>
      </c>
      <c r="P196" s="307">
        <v>0</v>
      </c>
      <c r="Q196" s="308">
        <v>0</v>
      </c>
      <c r="R196" s="307" t="s">
        <v>515</v>
      </c>
      <c r="S196" s="307" t="s">
        <v>515</v>
      </c>
      <c r="T196" s="308"/>
      <c r="U196" s="309">
        <v>0</v>
      </c>
      <c r="V196" s="149"/>
      <c r="W196" s="127"/>
    </row>
    <row r="197" spans="2:23" ht="13" x14ac:dyDescent="0.3">
      <c r="B197" s="152"/>
      <c r="C197" s="153"/>
      <c r="D197" s="154"/>
      <c r="E197" s="154"/>
      <c r="F197" s="154"/>
      <c r="G197" s="154"/>
      <c r="H197" s="146"/>
      <c r="I197" s="154"/>
      <c r="J197" s="154"/>
      <c r="K197" s="155"/>
      <c r="L197" s="155"/>
      <c r="M197" s="155"/>
      <c r="N197" s="155"/>
      <c r="O197" s="155"/>
      <c r="P197" s="155"/>
      <c r="Q197" s="155"/>
      <c r="R197" s="155"/>
      <c r="S197" s="155"/>
      <c r="T197" s="155"/>
      <c r="U197" s="155"/>
      <c r="V197" s="149"/>
      <c r="W197" s="127"/>
    </row>
    <row r="198" spans="2:23" ht="13" x14ac:dyDescent="0.3">
      <c r="B198" s="152"/>
      <c r="C198" s="153"/>
      <c r="D198" s="311"/>
      <c r="E198" s="285" t="s">
        <v>462</v>
      </c>
      <c r="F198" s="147"/>
      <c r="G198" s="154"/>
      <c r="H198" s="146"/>
      <c r="I198" s="154"/>
      <c r="J198" s="154"/>
      <c r="K198" s="155"/>
      <c r="L198" s="155"/>
      <c r="M198" s="155"/>
      <c r="N198" s="155"/>
      <c r="O198" s="155"/>
      <c r="P198" s="155"/>
      <c r="Q198" s="155"/>
      <c r="R198" s="155"/>
      <c r="S198" s="155"/>
      <c r="T198" s="155"/>
      <c r="U198" s="155"/>
      <c r="V198" s="149"/>
      <c r="W198" s="127"/>
    </row>
    <row r="199" spans="2:23" ht="13" x14ac:dyDescent="0.3">
      <c r="B199" s="152"/>
      <c r="C199" s="153"/>
      <c r="D199" s="154"/>
      <c r="E199" s="154"/>
      <c r="F199" s="154"/>
      <c r="G199" s="154"/>
      <c r="H199" s="146"/>
      <c r="I199" s="154"/>
      <c r="J199" s="154"/>
      <c r="K199" s="155"/>
      <c r="L199" s="155"/>
      <c r="M199" s="155"/>
      <c r="N199" s="155"/>
      <c r="O199" s="155"/>
      <c r="P199" s="155"/>
      <c r="Q199" s="155"/>
      <c r="R199" s="155"/>
      <c r="S199" s="155"/>
      <c r="T199" s="155"/>
      <c r="U199" s="155"/>
      <c r="V199" s="149"/>
      <c r="W199" s="127"/>
    </row>
    <row r="200" spans="2:23" ht="41.15" customHeight="1" x14ac:dyDescent="0.55000000000000004">
      <c r="B200" s="164" t="s">
        <v>341</v>
      </c>
      <c r="C200" s="165"/>
      <c r="D200" s="165"/>
      <c r="E200" s="165"/>
      <c r="F200" s="165"/>
      <c r="G200" s="165"/>
      <c r="H200" s="165"/>
      <c r="I200" s="165"/>
      <c r="J200" s="165"/>
      <c r="K200" s="165"/>
      <c r="L200" s="165"/>
      <c r="M200" s="165"/>
      <c r="N200" s="165"/>
      <c r="O200" s="165"/>
      <c r="P200" s="165"/>
      <c r="Q200" s="165"/>
      <c r="R200" s="165"/>
      <c r="S200" s="165"/>
      <c r="T200" s="165"/>
      <c r="U200" s="165"/>
      <c r="V200" s="149"/>
      <c r="W200" s="127"/>
    </row>
    <row r="201" spans="2:23" ht="33.65" customHeight="1" x14ac:dyDescent="0.3">
      <c r="B201" s="302" t="s">
        <v>472</v>
      </c>
      <c r="C201" s="303"/>
      <c r="D201" s="303"/>
      <c r="E201" s="303"/>
      <c r="F201" s="303"/>
      <c r="G201" s="303"/>
      <c r="H201" s="303"/>
      <c r="I201" s="303"/>
      <c r="J201" s="303"/>
      <c r="K201" s="303"/>
      <c r="L201" s="303"/>
      <c r="M201" s="303"/>
      <c r="N201" s="303"/>
      <c r="O201" s="303"/>
      <c r="P201" s="303"/>
      <c r="Q201" s="303"/>
      <c r="R201" s="303"/>
      <c r="S201" s="303"/>
      <c r="T201" s="303"/>
      <c r="U201" s="303"/>
      <c r="V201" s="149"/>
      <c r="W201" s="127"/>
    </row>
    <row r="202" spans="2:23" ht="19.5" x14ac:dyDescent="0.3">
      <c r="B202" s="327"/>
      <c r="C202" s="330"/>
      <c r="D202" s="333"/>
      <c r="E202" s="333"/>
      <c r="F202" s="336" t="s">
        <v>220</v>
      </c>
      <c r="G202" s="337"/>
      <c r="H202" s="338"/>
      <c r="I202" s="336" t="s">
        <v>221</v>
      </c>
      <c r="J202" s="342"/>
      <c r="K202" s="343"/>
      <c r="L202" s="336" t="s">
        <v>390</v>
      </c>
      <c r="M202" s="342"/>
      <c r="N202" s="343"/>
      <c r="O202" s="336" t="s">
        <v>287</v>
      </c>
      <c r="P202" s="342"/>
      <c r="Q202" s="343"/>
      <c r="R202" s="336" t="s">
        <v>222</v>
      </c>
      <c r="S202" s="342"/>
      <c r="T202" s="343"/>
      <c r="U202" s="333" t="s">
        <v>213</v>
      </c>
      <c r="V202" s="149"/>
      <c r="W202" s="127"/>
    </row>
    <row r="203" spans="2:23" ht="15.5" x14ac:dyDescent="0.3">
      <c r="B203" s="328" t="s">
        <v>0</v>
      </c>
      <c r="C203" s="331" t="s">
        <v>1</v>
      </c>
      <c r="D203" s="334" t="s">
        <v>2</v>
      </c>
      <c r="E203" s="334" t="s">
        <v>3</v>
      </c>
      <c r="F203" s="339" t="s">
        <v>288</v>
      </c>
      <c r="G203" s="340"/>
      <c r="H203" s="341"/>
      <c r="I203" s="339" t="s">
        <v>289</v>
      </c>
      <c r="J203" s="344"/>
      <c r="K203" s="345"/>
      <c r="L203" s="339" t="s">
        <v>290</v>
      </c>
      <c r="M203" s="344"/>
      <c r="N203" s="345"/>
      <c r="O203" s="339" t="s">
        <v>291</v>
      </c>
      <c r="P203" s="344"/>
      <c r="Q203" s="345"/>
      <c r="R203" s="339" t="s">
        <v>292</v>
      </c>
      <c r="S203" s="344"/>
      <c r="T203" s="345"/>
      <c r="U203" s="334" t="s">
        <v>9</v>
      </c>
      <c r="V203" s="149"/>
      <c r="W203" s="127"/>
    </row>
    <row r="204" spans="2:23" ht="13" x14ac:dyDescent="0.3">
      <c r="B204" s="329"/>
      <c r="C204" s="332"/>
      <c r="D204" s="335"/>
      <c r="E204" s="335"/>
      <c r="F204" s="325" t="s">
        <v>33</v>
      </c>
      <c r="G204" s="325" t="s">
        <v>34</v>
      </c>
      <c r="H204" s="326" t="s">
        <v>35</v>
      </c>
      <c r="I204" s="325" t="s">
        <v>33</v>
      </c>
      <c r="J204" s="325" t="s">
        <v>34</v>
      </c>
      <c r="K204" s="326" t="s">
        <v>35</v>
      </c>
      <c r="L204" s="325" t="s">
        <v>33</v>
      </c>
      <c r="M204" s="325" t="s">
        <v>34</v>
      </c>
      <c r="N204" s="326" t="s">
        <v>35</v>
      </c>
      <c r="O204" s="325" t="s">
        <v>33</v>
      </c>
      <c r="P204" s="325" t="s">
        <v>34</v>
      </c>
      <c r="Q204" s="326" t="s">
        <v>35</v>
      </c>
      <c r="R204" s="325" t="s">
        <v>33</v>
      </c>
      <c r="S204" s="325" t="s">
        <v>34</v>
      </c>
      <c r="T204" s="326" t="s">
        <v>35</v>
      </c>
      <c r="U204" s="335"/>
      <c r="V204" s="149"/>
      <c r="W204" s="127"/>
    </row>
    <row r="205" spans="2:23" ht="13" x14ac:dyDescent="0.3">
      <c r="B205" s="319">
        <v>1</v>
      </c>
      <c r="C205" s="320" t="s">
        <v>342</v>
      </c>
      <c r="D205" s="321">
        <v>7</v>
      </c>
      <c r="E205" s="321"/>
      <c r="F205" s="322">
        <v>20</v>
      </c>
      <c r="G205" s="322">
        <v>12</v>
      </c>
      <c r="H205" s="323">
        <v>64</v>
      </c>
      <c r="I205" s="322">
        <v>17</v>
      </c>
      <c r="J205" s="322">
        <v>9</v>
      </c>
      <c r="K205" s="323">
        <v>52</v>
      </c>
      <c r="L205" s="322">
        <v>17</v>
      </c>
      <c r="M205" s="322">
        <v>9</v>
      </c>
      <c r="N205" s="323">
        <v>78</v>
      </c>
      <c r="O205" s="322">
        <v>20</v>
      </c>
      <c r="P205" s="322">
        <v>12</v>
      </c>
      <c r="Q205" s="323">
        <v>64</v>
      </c>
      <c r="R205" s="322">
        <v>20</v>
      </c>
      <c r="S205" s="322">
        <v>12</v>
      </c>
      <c r="T205" s="323">
        <v>32</v>
      </c>
      <c r="U205" s="324">
        <v>290</v>
      </c>
      <c r="V205" s="149"/>
      <c r="W205" s="127"/>
    </row>
    <row r="206" spans="2:23" ht="13" x14ac:dyDescent="0.3">
      <c r="B206" s="304">
        <v>2</v>
      </c>
      <c r="C206" s="305" t="s">
        <v>331</v>
      </c>
      <c r="D206" s="306">
        <v>7</v>
      </c>
      <c r="E206" s="306"/>
      <c r="F206" s="307">
        <v>17</v>
      </c>
      <c r="G206" s="307">
        <v>9</v>
      </c>
      <c r="H206" s="308">
        <v>52</v>
      </c>
      <c r="I206" s="307">
        <v>20</v>
      </c>
      <c r="J206" s="307">
        <v>12</v>
      </c>
      <c r="K206" s="308">
        <v>64</v>
      </c>
      <c r="L206" s="307">
        <v>20</v>
      </c>
      <c r="M206" s="307">
        <v>12</v>
      </c>
      <c r="N206" s="308">
        <v>96</v>
      </c>
      <c r="O206" s="307">
        <v>17</v>
      </c>
      <c r="P206" s="307">
        <v>9</v>
      </c>
      <c r="Q206" s="308">
        <v>52</v>
      </c>
      <c r="R206" s="307">
        <v>17</v>
      </c>
      <c r="S206" s="307">
        <v>9</v>
      </c>
      <c r="T206" s="308">
        <v>26</v>
      </c>
      <c r="U206" s="309">
        <v>290</v>
      </c>
      <c r="V206" s="149"/>
      <c r="W206" s="127"/>
    </row>
    <row r="207" spans="2:23" ht="13" x14ac:dyDescent="0.3">
      <c r="B207" s="304">
        <v>3</v>
      </c>
      <c r="C207" s="310" t="s">
        <v>335</v>
      </c>
      <c r="D207" s="306">
        <v>7</v>
      </c>
      <c r="E207" s="306"/>
      <c r="F207" s="307">
        <v>12</v>
      </c>
      <c r="G207" s="307">
        <v>5</v>
      </c>
      <c r="H207" s="308">
        <v>34</v>
      </c>
      <c r="I207" s="307">
        <v>14</v>
      </c>
      <c r="J207" s="307">
        <v>7</v>
      </c>
      <c r="K207" s="308">
        <v>42</v>
      </c>
      <c r="L207" s="307">
        <v>0</v>
      </c>
      <c r="M207" s="307">
        <v>0</v>
      </c>
      <c r="N207" s="308">
        <v>0</v>
      </c>
      <c r="O207" s="307">
        <v>14</v>
      </c>
      <c r="P207" s="307">
        <v>7</v>
      </c>
      <c r="Q207" s="308">
        <v>42</v>
      </c>
      <c r="R207" s="307">
        <v>14</v>
      </c>
      <c r="S207" s="307">
        <v>7</v>
      </c>
      <c r="T207" s="308">
        <v>21</v>
      </c>
      <c r="U207" s="309">
        <v>139</v>
      </c>
      <c r="V207" s="149"/>
      <c r="W207" s="127"/>
    </row>
    <row r="208" spans="2:23" ht="13" x14ac:dyDescent="0.3">
      <c r="B208" s="152"/>
      <c r="C208" s="153"/>
      <c r="D208" s="154"/>
      <c r="E208" s="154"/>
      <c r="F208" s="154"/>
      <c r="G208" s="154"/>
      <c r="H208" s="146"/>
      <c r="I208" s="154"/>
      <c r="J208" s="154"/>
      <c r="K208" s="155"/>
      <c r="L208" s="155"/>
      <c r="M208" s="155"/>
      <c r="N208" s="155"/>
      <c r="O208" s="155"/>
      <c r="P208" s="155"/>
      <c r="Q208" s="155"/>
      <c r="R208" s="155"/>
      <c r="S208" s="155"/>
      <c r="T208" s="155"/>
      <c r="U208" s="155"/>
      <c r="V208" s="149"/>
      <c r="W208" s="127"/>
    </row>
    <row r="209" spans="2:23" ht="13" x14ac:dyDescent="0.3">
      <c r="B209" s="152"/>
      <c r="C209" s="236" t="s">
        <v>510</v>
      </c>
      <c r="D209" s="237" t="s">
        <v>467</v>
      </c>
      <c r="E209" s="154"/>
      <c r="F209" s="154"/>
      <c r="G209" s="154"/>
      <c r="H209" s="146"/>
      <c r="I209" s="154"/>
      <c r="J209" s="154"/>
      <c r="K209" s="155"/>
      <c r="L209" s="155"/>
      <c r="M209" s="155"/>
      <c r="N209" s="155"/>
      <c r="O209" s="155"/>
      <c r="P209" s="155"/>
      <c r="Q209" s="155"/>
      <c r="R209" s="155"/>
      <c r="S209" s="155"/>
      <c r="T209" s="155"/>
      <c r="U209" s="155"/>
      <c r="V209" s="149"/>
      <c r="W209" s="127"/>
    </row>
    <row r="210" spans="2:23" ht="13" x14ac:dyDescent="0.3">
      <c r="B210" s="152"/>
      <c r="C210" s="153"/>
      <c r="D210" s="2"/>
      <c r="E210" s="348" t="s">
        <v>504</v>
      </c>
      <c r="F210" s="154"/>
      <c r="G210" s="154"/>
      <c r="H210" s="146"/>
      <c r="I210" s="154"/>
      <c r="J210" s="154"/>
      <c r="K210" s="155"/>
      <c r="L210" s="155"/>
      <c r="M210" s="155"/>
      <c r="N210" s="155"/>
      <c r="O210" s="155"/>
      <c r="P210" s="155"/>
      <c r="Q210" s="155"/>
      <c r="R210" s="155"/>
      <c r="S210" s="155"/>
      <c r="T210" s="155"/>
      <c r="U210" s="155"/>
      <c r="V210" s="149"/>
      <c r="W210" s="127"/>
    </row>
    <row r="211" spans="2:23" ht="13" x14ac:dyDescent="0.3">
      <c r="B211" s="152"/>
      <c r="C211" s="153"/>
      <c r="D211" s="154"/>
      <c r="E211" s="154"/>
      <c r="F211" s="154"/>
      <c r="G211" s="154"/>
      <c r="H211" s="146"/>
      <c r="I211" s="154"/>
      <c r="J211" s="154"/>
      <c r="K211" s="155"/>
      <c r="L211" s="155"/>
      <c r="M211" s="155"/>
      <c r="N211" s="155"/>
      <c r="O211" s="155"/>
      <c r="P211" s="155"/>
      <c r="Q211" s="155"/>
      <c r="R211" s="155"/>
      <c r="S211" s="155"/>
      <c r="T211" s="155"/>
      <c r="U211" s="155"/>
      <c r="V211" s="149"/>
      <c r="W211" s="127"/>
    </row>
    <row r="212" spans="2:23" ht="13" x14ac:dyDescent="0.3">
      <c r="B212" s="301" t="s">
        <v>466</v>
      </c>
      <c r="C212" s="156"/>
      <c r="D212" s="2"/>
      <c r="E212" s="2"/>
      <c r="F212" s="2"/>
      <c r="G212" s="2"/>
      <c r="H212" s="3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149"/>
      <c r="W212" s="127"/>
    </row>
    <row r="213" spans="2:23" ht="19.5" x14ac:dyDescent="0.3">
      <c r="B213" s="327"/>
      <c r="C213" s="330"/>
      <c r="D213" s="333"/>
      <c r="E213" s="333"/>
      <c r="F213" s="336" t="s">
        <v>220</v>
      </c>
      <c r="G213" s="337"/>
      <c r="H213" s="338"/>
      <c r="I213" s="336" t="s">
        <v>221</v>
      </c>
      <c r="J213" s="342"/>
      <c r="K213" s="343"/>
      <c r="L213" s="336" t="s">
        <v>390</v>
      </c>
      <c r="M213" s="342"/>
      <c r="N213" s="343"/>
      <c r="O213" s="336" t="s">
        <v>287</v>
      </c>
      <c r="P213" s="342"/>
      <c r="Q213" s="343"/>
      <c r="R213" s="336" t="s">
        <v>222</v>
      </c>
      <c r="S213" s="342"/>
      <c r="T213" s="343"/>
      <c r="U213" s="333" t="s">
        <v>213</v>
      </c>
      <c r="V213" s="149"/>
      <c r="W213" s="127"/>
    </row>
    <row r="214" spans="2:23" ht="15.5" x14ac:dyDescent="0.3">
      <c r="B214" s="328" t="s">
        <v>0</v>
      </c>
      <c r="C214" s="331" t="s">
        <v>1</v>
      </c>
      <c r="D214" s="334" t="s">
        <v>2</v>
      </c>
      <c r="E214" s="334" t="s">
        <v>3</v>
      </c>
      <c r="F214" s="339" t="s">
        <v>288</v>
      </c>
      <c r="G214" s="340"/>
      <c r="H214" s="341"/>
      <c r="I214" s="339" t="s">
        <v>289</v>
      </c>
      <c r="J214" s="344"/>
      <c r="K214" s="345"/>
      <c r="L214" s="339" t="s">
        <v>290</v>
      </c>
      <c r="M214" s="344"/>
      <c r="N214" s="345"/>
      <c r="O214" s="339" t="s">
        <v>291</v>
      </c>
      <c r="P214" s="344"/>
      <c r="Q214" s="345"/>
      <c r="R214" s="339" t="s">
        <v>292</v>
      </c>
      <c r="S214" s="344"/>
      <c r="T214" s="345"/>
      <c r="U214" s="334" t="s">
        <v>9</v>
      </c>
      <c r="V214" s="149"/>
      <c r="W214" s="127"/>
    </row>
    <row r="215" spans="2:23" ht="13" x14ac:dyDescent="0.3">
      <c r="B215" s="329"/>
      <c r="C215" s="332"/>
      <c r="D215" s="335"/>
      <c r="E215" s="335"/>
      <c r="F215" s="325" t="s">
        <v>33</v>
      </c>
      <c r="G215" s="325" t="s">
        <v>34</v>
      </c>
      <c r="H215" s="326" t="s">
        <v>35</v>
      </c>
      <c r="I215" s="325" t="s">
        <v>33</v>
      </c>
      <c r="J215" s="325" t="s">
        <v>34</v>
      </c>
      <c r="K215" s="326" t="s">
        <v>35</v>
      </c>
      <c r="L215" s="325" t="s">
        <v>33</v>
      </c>
      <c r="M215" s="325" t="s">
        <v>34</v>
      </c>
      <c r="N215" s="326" t="s">
        <v>35</v>
      </c>
      <c r="O215" s="325" t="s">
        <v>33</v>
      </c>
      <c r="P215" s="325" t="s">
        <v>34</v>
      </c>
      <c r="Q215" s="326" t="s">
        <v>35</v>
      </c>
      <c r="R215" s="325" t="s">
        <v>33</v>
      </c>
      <c r="S215" s="325" t="s">
        <v>34</v>
      </c>
      <c r="T215" s="326" t="s">
        <v>35</v>
      </c>
      <c r="U215" s="335"/>
      <c r="V215" s="149"/>
      <c r="W215" s="127"/>
    </row>
    <row r="216" spans="2:23" ht="13" x14ac:dyDescent="0.3">
      <c r="B216" s="319"/>
      <c r="C216" s="352" t="s">
        <v>264</v>
      </c>
      <c r="D216" s="321">
        <v>7</v>
      </c>
      <c r="E216" s="321"/>
      <c r="F216" s="322"/>
      <c r="G216" s="322"/>
      <c r="H216" s="323"/>
      <c r="I216" s="322">
        <v>12</v>
      </c>
      <c r="J216" s="322">
        <v>5</v>
      </c>
      <c r="K216" s="323">
        <v>34</v>
      </c>
      <c r="L216" s="322">
        <v>14</v>
      </c>
      <c r="M216" s="322">
        <v>7</v>
      </c>
      <c r="N216" s="323">
        <v>63</v>
      </c>
      <c r="O216" s="322" t="s">
        <v>515</v>
      </c>
      <c r="P216" s="322" t="s">
        <v>515</v>
      </c>
      <c r="Q216" s="323"/>
      <c r="R216" s="322" t="s">
        <v>515</v>
      </c>
      <c r="S216" s="322" t="s">
        <v>515</v>
      </c>
      <c r="T216" s="323"/>
      <c r="U216" s="324">
        <v>97</v>
      </c>
      <c r="V216" s="149"/>
      <c r="W216" s="127"/>
    </row>
    <row r="217" spans="2:23" ht="13" x14ac:dyDescent="0.3">
      <c r="B217" s="304"/>
      <c r="C217" s="310" t="s">
        <v>333</v>
      </c>
      <c r="D217" s="306">
        <v>7</v>
      </c>
      <c r="E217" s="306"/>
      <c r="F217" s="307">
        <v>14</v>
      </c>
      <c r="G217" s="307">
        <v>7</v>
      </c>
      <c r="H217" s="308">
        <v>42</v>
      </c>
      <c r="I217" s="307"/>
      <c r="J217" s="307"/>
      <c r="K217" s="308"/>
      <c r="L217" s="307" t="s">
        <v>515</v>
      </c>
      <c r="M217" s="307" t="s">
        <v>515</v>
      </c>
      <c r="N217" s="308"/>
      <c r="O217" s="307" t="s">
        <v>515</v>
      </c>
      <c r="P217" s="307" t="s">
        <v>515</v>
      </c>
      <c r="Q217" s="308"/>
      <c r="R217" s="307" t="s">
        <v>515</v>
      </c>
      <c r="S217" s="307" t="s">
        <v>515</v>
      </c>
      <c r="T217" s="308"/>
      <c r="U217" s="309">
        <v>42</v>
      </c>
      <c r="V217" s="149"/>
      <c r="W217" s="127"/>
    </row>
    <row r="218" spans="2:23" ht="13" x14ac:dyDescent="0.3">
      <c r="B218" s="304"/>
      <c r="C218" s="310" t="s">
        <v>391</v>
      </c>
      <c r="D218" s="306">
        <v>7</v>
      </c>
      <c r="E218" s="306"/>
      <c r="F218" s="307"/>
      <c r="G218" s="307"/>
      <c r="H218" s="308"/>
      <c r="I218" s="307"/>
      <c r="J218" s="307"/>
      <c r="K218" s="308"/>
      <c r="L218" s="307">
        <v>0</v>
      </c>
      <c r="M218" s="307">
        <v>0</v>
      </c>
      <c r="N218" s="308">
        <v>0</v>
      </c>
      <c r="O218" s="307" t="s">
        <v>515</v>
      </c>
      <c r="P218" s="307" t="s">
        <v>515</v>
      </c>
      <c r="Q218" s="308"/>
      <c r="R218" s="307" t="s">
        <v>515</v>
      </c>
      <c r="S218" s="307" t="s">
        <v>515</v>
      </c>
      <c r="T218" s="308"/>
      <c r="U218" s="309">
        <v>0</v>
      </c>
      <c r="V218" s="149"/>
      <c r="W218" s="127"/>
    </row>
    <row r="219" spans="2:23" ht="13" x14ac:dyDescent="0.3">
      <c r="B219" s="152"/>
      <c r="C219" s="153"/>
      <c r="D219" s="154"/>
      <c r="E219" s="154"/>
      <c r="F219" s="154"/>
      <c r="G219" s="154"/>
      <c r="H219" s="146"/>
      <c r="I219" s="154"/>
      <c r="J219" s="154"/>
      <c r="K219" s="155"/>
      <c r="L219" s="155"/>
      <c r="M219" s="155"/>
      <c r="N219" s="155"/>
      <c r="O219" s="155"/>
      <c r="P219" s="155"/>
      <c r="Q219" s="155"/>
      <c r="R219" s="155"/>
      <c r="S219" s="155"/>
      <c r="T219" s="155"/>
      <c r="U219" s="155"/>
      <c r="V219" s="149"/>
      <c r="W219" s="127"/>
    </row>
    <row r="220" spans="2:23" ht="13" x14ac:dyDescent="0.3">
      <c r="B220" s="152"/>
      <c r="C220" s="153"/>
      <c r="D220" s="154"/>
      <c r="E220" s="154"/>
      <c r="F220" s="154"/>
      <c r="G220" s="154"/>
      <c r="H220" s="146"/>
      <c r="I220" s="154"/>
      <c r="J220" s="154"/>
      <c r="K220" s="155"/>
      <c r="L220" s="155"/>
      <c r="M220" s="155"/>
      <c r="N220" s="155"/>
      <c r="O220" s="155"/>
      <c r="P220" s="155"/>
      <c r="Q220" s="155"/>
      <c r="R220" s="155"/>
      <c r="S220" s="155"/>
      <c r="T220" s="155"/>
      <c r="U220" s="155"/>
      <c r="V220" s="149"/>
      <c r="W220" s="127"/>
    </row>
    <row r="221" spans="2:23" ht="38.5" customHeight="1" x14ac:dyDescent="0.55000000000000004">
      <c r="B221" s="164" t="s">
        <v>341</v>
      </c>
      <c r="C221" s="165"/>
      <c r="D221" s="165"/>
      <c r="E221" s="165"/>
      <c r="F221" s="165"/>
      <c r="G221" s="165"/>
      <c r="H221" s="165"/>
      <c r="I221" s="165"/>
      <c r="J221" s="165"/>
      <c r="K221" s="165"/>
      <c r="L221" s="165"/>
      <c r="M221" s="165"/>
      <c r="N221" s="165"/>
      <c r="O221" s="165"/>
      <c r="P221" s="165"/>
      <c r="Q221" s="165"/>
      <c r="R221" s="165"/>
      <c r="S221" s="165"/>
      <c r="T221" s="165"/>
      <c r="U221" s="165"/>
      <c r="V221" s="149"/>
      <c r="W221" s="127"/>
    </row>
    <row r="222" spans="2:23" ht="23.5" customHeight="1" x14ac:dyDescent="0.3">
      <c r="B222" s="302" t="s">
        <v>473</v>
      </c>
      <c r="C222" s="303"/>
      <c r="D222" s="303"/>
      <c r="E222" s="303"/>
      <c r="F222" s="303"/>
      <c r="G222" s="303"/>
      <c r="H222" s="303"/>
      <c r="I222" s="303"/>
      <c r="J222" s="303"/>
      <c r="K222" s="303"/>
      <c r="L222" s="303"/>
      <c r="M222" s="303"/>
      <c r="N222" s="303"/>
      <c r="O222" s="303"/>
      <c r="P222" s="303"/>
      <c r="Q222" s="303"/>
      <c r="R222" s="303"/>
      <c r="S222" s="303"/>
      <c r="T222" s="303"/>
      <c r="U222" s="303"/>
      <c r="V222" s="149"/>
      <c r="W222" s="127"/>
    </row>
    <row r="223" spans="2:23" ht="19.5" x14ac:dyDescent="0.3">
      <c r="B223" s="327"/>
      <c r="C223" s="330"/>
      <c r="D223" s="333"/>
      <c r="E223" s="333"/>
      <c r="F223" s="336" t="s">
        <v>220</v>
      </c>
      <c r="G223" s="337"/>
      <c r="H223" s="338"/>
      <c r="I223" s="336" t="s">
        <v>221</v>
      </c>
      <c r="J223" s="342"/>
      <c r="K223" s="343"/>
      <c r="L223" s="336" t="s">
        <v>390</v>
      </c>
      <c r="M223" s="342"/>
      <c r="N223" s="343"/>
      <c r="O223" s="336" t="s">
        <v>287</v>
      </c>
      <c r="P223" s="342"/>
      <c r="Q223" s="343"/>
      <c r="R223" s="336" t="s">
        <v>222</v>
      </c>
      <c r="S223" s="342"/>
      <c r="T223" s="343"/>
      <c r="U223" s="333" t="s">
        <v>213</v>
      </c>
      <c r="V223" s="149"/>
      <c r="W223" s="127"/>
    </row>
    <row r="224" spans="2:23" ht="15.5" x14ac:dyDescent="0.3">
      <c r="B224" s="328" t="s">
        <v>0</v>
      </c>
      <c r="C224" s="331" t="s">
        <v>166</v>
      </c>
      <c r="D224" s="334" t="s">
        <v>2</v>
      </c>
      <c r="E224" s="334" t="s">
        <v>3</v>
      </c>
      <c r="F224" s="339" t="s">
        <v>288</v>
      </c>
      <c r="G224" s="340"/>
      <c r="H224" s="341"/>
      <c r="I224" s="339" t="s">
        <v>289</v>
      </c>
      <c r="J224" s="344"/>
      <c r="K224" s="345"/>
      <c r="L224" s="339" t="s">
        <v>290</v>
      </c>
      <c r="M224" s="344"/>
      <c r="N224" s="345"/>
      <c r="O224" s="339" t="s">
        <v>291</v>
      </c>
      <c r="P224" s="344"/>
      <c r="Q224" s="345"/>
      <c r="R224" s="339" t="s">
        <v>292</v>
      </c>
      <c r="S224" s="344"/>
      <c r="T224" s="345"/>
      <c r="U224" s="334" t="s">
        <v>9</v>
      </c>
      <c r="V224" s="149"/>
      <c r="W224" s="127"/>
    </row>
    <row r="225" spans="2:23" ht="13" x14ac:dyDescent="0.3">
      <c r="B225" s="329"/>
      <c r="C225" s="332"/>
      <c r="D225" s="335"/>
      <c r="E225" s="335"/>
      <c r="F225" s="325" t="s">
        <v>33</v>
      </c>
      <c r="G225" s="325" t="s">
        <v>34</v>
      </c>
      <c r="H225" s="326" t="s">
        <v>35</v>
      </c>
      <c r="I225" s="325" t="s">
        <v>33</v>
      </c>
      <c r="J225" s="325" t="s">
        <v>34</v>
      </c>
      <c r="K225" s="326" t="s">
        <v>35</v>
      </c>
      <c r="L225" s="325" t="s">
        <v>33</v>
      </c>
      <c r="M225" s="325" t="s">
        <v>34</v>
      </c>
      <c r="N225" s="326" t="s">
        <v>35</v>
      </c>
      <c r="O225" s="325" t="s">
        <v>33</v>
      </c>
      <c r="P225" s="325" t="s">
        <v>34</v>
      </c>
      <c r="Q225" s="326" t="s">
        <v>35</v>
      </c>
      <c r="R225" s="325" t="s">
        <v>33</v>
      </c>
      <c r="S225" s="325" t="s">
        <v>34</v>
      </c>
      <c r="T225" s="326" t="s">
        <v>35</v>
      </c>
      <c r="U225" s="335"/>
      <c r="V225" s="149"/>
      <c r="W225" s="127"/>
    </row>
    <row r="226" spans="2:23" ht="13" x14ac:dyDescent="0.3">
      <c r="B226" s="319">
        <v>1</v>
      </c>
      <c r="C226" s="352" t="s">
        <v>358</v>
      </c>
      <c r="D226" s="321">
        <v>7</v>
      </c>
      <c r="E226" s="321"/>
      <c r="F226" s="322"/>
      <c r="G226" s="322"/>
      <c r="H226" s="323"/>
      <c r="I226" s="322">
        <v>20</v>
      </c>
      <c r="J226" s="322">
        <v>12</v>
      </c>
      <c r="K226" s="323">
        <v>64</v>
      </c>
      <c r="L226" s="322">
        <v>20</v>
      </c>
      <c r="M226" s="322">
        <v>12</v>
      </c>
      <c r="N226" s="323">
        <v>96</v>
      </c>
      <c r="O226" s="322">
        <v>20</v>
      </c>
      <c r="P226" s="350">
        <v>6</v>
      </c>
      <c r="Q226" s="323">
        <v>52</v>
      </c>
      <c r="R226" s="322">
        <v>20</v>
      </c>
      <c r="S226" s="350">
        <v>6</v>
      </c>
      <c r="T226" s="323">
        <v>26</v>
      </c>
      <c r="U226" s="324">
        <v>238</v>
      </c>
      <c r="V226" s="149"/>
      <c r="W226" s="127"/>
    </row>
    <row r="227" spans="2:23" ht="13" x14ac:dyDescent="0.3">
      <c r="B227" s="304">
        <v>2</v>
      </c>
      <c r="C227" s="310" t="s">
        <v>265</v>
      </c>
      <c r="D227" s="306">
        <v>7</v>
      </c>
      <c r="E227" s="306"/>
      <c r="F227" s="307">
        <v>14</v>
      </c>
      <c r="G227" s="307">
        <v>7</v>
      </c>
      <c r="H227" s="308">
        <v>42</v>
      </c>
      <c r="I227" s="307">
        <v>17</v>
      </c>
      <c r="J227" s="307">
        <v>9</v>
      </c>
      <c r="K227" s="308">
        <v>52</v>
      </c>
      <c r="L227" s="307">
        <v>0</v>
      </c>
      <c r="M227" s="307">
        <v>0</v>
      </c>
      <c r="N227" s="308">
        <v>0</v>
      </c>
      <c r="O227" s="307">
        <v>17</v>
      </c>
      <c r="P227" s="311">
        <v>4.5</v>
      </c>
      <c r="Q227" s="308">
        <v>43</v>
      </c>
      <c r="R227" s="307">
        <v>17</v>
      </c>
      <c r="S227" s="311">
        <v>4.5</v>
      </c>
      <c r="T227" s="308">
        <v>21.5</v>
      </c>
      <c r="U227" s="309">
        <v>158.5</v>
      </c>
      <c r="V227" s="149"/>
      <c r="W227" s="127"/>
    </row>
    <row r="228" spans="2:23" ht="13" x14ac:dyDescent="0.3">
      <c r="B228" s="152"/>
      <c r="C228" s="153"/>
      <c r="D228" s="154"/>
      <c r="E228" s="154"/>
      <c r="F228" s="154"/>
      <c r="G228" s="154"/>
      <c r="H228" s="146"/>
      <c r="I228" s="154"/>
      <c r="J228" s="154"/>
      <c r="K228" s="155"/>
      <c r="L228" s="155"/>
      <c r="M228" s="155"/>
      <c r="N228" s="155"/>
      <c r="O228" s="155"/>
      <c r="P228" s="155"/>
      <c r="Q228" s="155"/>
      <c r="R228" s="155"/>
      <c r="S228" s="155"/>
      <c r="T228" s="155"/>
      <c r="U228" s="155"/>
      <c r="V228" s="149"/>
      <c r="W228" s="127"/>
    </row>
    <row r="229" spans="2:23" ht="13" x14ac:dyDescent="0.3">
      <c r="B229" s="152"/>
      <c r="C229" s="153"/>
      <c r="D229" s="311"/>
      <c r="E229" s="285" t="s">
        <v>462</v>
      </c>
      <c r="F229" s="154"/>
      <c r="G229" s="154"/>
      <c r="H229" s="146"/>
      <c r="I229" s="154"/>
      <c r="J229" s="154"/>
      <c r="K229" s="155"/>
      <c r="L229" s="155"/>
      <c r="M229" s="155"/>
      <c r="N229" s="155"/>
      <c r="O229" s="155"/>
      <c r="P229" s="155"/>
      <c r="Q229" s="155"/>
      <c r="R229" s="155"/>
      <c r="S229" s="155"/>
      <c r="T229" s="155"/>
      <c r="U229" s="155"/>
      <c r="V229" s="149"/>
      <c r="W229" s="127"/>
    </row>
    <row r="230" spans="2:23" ht="13" x14ac:dyDescent="0.3">
      <c r="B230" s="152"/>
      <c r="C230" s="153"/>
      <c r="D230" s="154"/>
      <c r="E230" s="285"/>
      <c r="F230" s="154"/>
      <c r="G230" s="154"/>
      <c r="H230" s="146"/>
      <c r="I230" s="154"/>
      <c r="J230" s="154"/>
      <c r="K230" s="155"/>
      <c r="L230" s="155"/>
      <c r="M230" s="155"/>
      <c r="N230" s="155"/>
      <c r="O230" s="155"/>
      <c r="P230" s="155"/>
      <c r="Q230" s="155"/>
      <c r="R230" s="155"/>
      <c r="S230" s="155"/>
      <c r="T230" s="155"/>
      <c r="U230" s="155"/>
      <c r="V230" s="149"/>
      <c r="W230" s="127"/>
    </row>
    <row r="231" spans="2:23" ht="13" x14ac:dyDescent="0.3">
      <c r="B231" s="301" t="s">
        <v>470</v>
      </c>
      <c r="C231" s="156"/>
      <c r="D231" s="2"/>
      <c r="E231" s="2"/>
      <c r="F231" s="2"/>
      <c r="G231" s="2"/>
      <c r="H231" s="3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149"/>
      <c r="W231" s="127"/>
    </row>
    <row r="232" spans="2:23" ht="19.5" x14ac:dyDescent="0.3">
      <c r="B232" s="327"/>
      <c r="C232" s="330"/>
      <c r="D232" s="333"/>
      <c r="E232" s="333"/>
      <c r="F232" s="336" t="s">
        <v>220</v>
      </c>
      <c r="G232" s="337"/>
      <c r="H232" s="338"/>
      <c r="I232" s="336" t="s">
        <v>221</v>
      </c>
      <c r="J232" s="342"/>
      <c r="K232" s="343"/>
      <c r="L232" s="336" t="s">
        <v>390</v>
      </c>
      <c r="M232" s="342"/>
      <c r="N232" s="343"/>
      <c r="O232" s="336" t="s">
        <v>287</v>
      </c>
      <c r="P232" s="342"/>
      <c r="Q232" s="343"/>
      <c r="R232" s="336" t="s">
        <v>222</v>
      </c>
      <c r="S232" s="342"/>
      <c r="T232" s="343"/>
      <c r="U232" s="333" t="s">
        <v>213</v>
      </c>
      <c r="V232" s="149"/>
      <c r="W232" s="127"/>
    </row>
    <row r="233" spans="2:23" ht="15.5" x14ac:dyDescent="0.3">
      <c r="B233" s="328" t="s">
        <v>0</v>
      </c>
      <c r="C233" s="331" t="s">
        <v>166</v>
      </c>
      <c r="D233" s="334" t="s">
        <v>2</v>
      </c>
      <c r="E233" s="334" t="s">
        <v>3</v>
      </c>
      <c r="F233" s="339" t="s">
        <v>288</v>
      </c>
      <c r="G233" s="340"/>
      <c r="H233" s="341"/>
      <c r="I233" s="339" t="s">
        <v>289</v>
      </c>
      <c r="J233" s="344"/>
      <c r="K233" s="345"/>
      <c r="L233" s="339" t="s">
        <v>290</v>
      </c>
      <c r="M233" s="344"/>
      <c r="N233" s="345"/>
      <c r="O233" s="339" t="s">
        <v>291</v>
      </c>
      <c r="P233" s="344"/>
      <c r="Q233" s="345"/>
      <c r="R233" s="339" t="s">
        <v>292</v>
      </c>
      <c r="S233" s="344"/>
      <c r="T233" s="345"/>
      <c r="U233" s="334" t="s">
        <v>9</v>
      </c>
      <c r="V233" s="149"/>
      <c r="W233" s="127"/>
    </row>
    <row r="234" spans="2:23" ht="13" x14ac:dyDescent="0.3">
      <c r="B234" s="329"/>
      <c r="C234" s="332"/>
      <c r="D234" s="335"/>
      <c r="E234" s="335"/>
      <c r="F234" s="325" t="s">
        <v>33</v>
      </c>
      <c r="G234" s="325" t="s">
        <v>34</v>
      </c>
      <c r="H234" s="326" t="s">
        <v>35</v>
      </c>
      <c r="I234" s="325" t="s">
        <v>33</v>
      </c>
      <c r="J234" s="325" t="s">
        <v>34</v>
      </c>
      <c r="K234" s="326" t="s">
        <v>35</v>
      </c>
      <c r="L234" s="325" t="s">
        <v>33</v>
      </c>
      <c r="M234" s="325" t="s">
        <v>34</v>
      </c>
      <c r="N234" s="326" t="s">
        <v>35</v>
      </c>
      <c r="O234" s="325" t="s">
        <v>33</v>
      </c>
      <c r="P234" s="325" t="s">
        <v>34</v>
      </c>
      <c r="Q234" s="326" t="s">
        <v>35</v>
      </c>
      <c r="R234" s="325" t="s">
        <v>33</v>
      </c>
      <c r="S234" s="325" t="s">
        <v>34</v>
      </c>
      <c r="T234" s="326" t="s">
        <v>35</v>
      </c>
      <c r="U234" s="335"/>
      <c r="V234" s="149"/>
      <c r="W234" s="127"/>
    </row>
    <row r="235" spans="2:23" ht="13" x14ac:dyDescent="0.3">
      <c r="B235" s="319"/>
      <c r="C235" s="352" t="s">
        <v>360</v>
      </c>
      <c r="D235" s="321">
        <v>7</v>
      </c>
      <c r="E235" s="321"/>
      <c r="F235" s="322"/>
      <c r="G235" s="322"/>
      <c r="H235" s="323"/>
      <c r="I235" s="322">
        <v>14</v>
      </c>
      <c r="J235" s="322">
        <v>7</v>
      </c>
      <c r="K235" s="323">
        <v>42</v>
      </c>
      <c r="L235" s="322">
        <v>17</v>
      </c>
      <c r="M235" s="322">
        <v>9</v>
      </c>
      <c r="N235" s="323">
        <v>78</v>
      </c>
      <c r="O235" s="322" t="s">
        <v>515</v>
      </c>
      <c r="P235" s="322" t="s">
        <v>515</v>
      </c>
      <c r="Q235" s="323"/>
      <c r="R235" s="322" t="s">
        <v>515</v>
      </c>
      <c r="S235" s="322" t="s">
        <v>515</v>
      </c>
      <c r="T235" s="323"/>
      <c r="U235" s="324">
        <v>120</v>
      </c>
      <c r="V235" s="149"/>
      <c r="W235" s="127"/>
    </row>
    <row r="236" spans="2:23" ht="13" x14ac:dyDescent="0.3">
      <c r="B236" s="304"/>
      <c r="C236" s="310" t="s">
        <v>332</v>
      </c>
      <c r="D236" s="306">
        <v>7</v>
      </c>
      <c r="E236" s="306"/>
      <c r="F236" s="307">
        <v>20</v>
      </c>
      <c r="G236" s="307">
        <v>12</v>
      </c>
      <c r="H236" s="308">
        <v>64</v>
      </c>
      <c r="I236" s="307"/>
      <c r="J236" s="307"/>
      <c r="K236" s="308"/>
      <c r="L236" s="307" t="s">
        <v>515</v>
      </c>
      <c r="M236" s="307" t="s">
        <v>515</v>
      </c>
      <c r="N236" s="308"/>
      <c r="O236" s="307" t="s">
        <v>515</v>
      </c>
      <c r="P236" s="307" t="s">
        <v>515</v>
      </c>
      <c r="Q236" s="308"/>
      <c r="R236" s="307" t="s">
        <v>515</v>
      </c>
      <c r="S236" s="307" t="s">
        <v>515</v>
      </c>
      <c r="T236" s="308"/>
      <c r="U236" s="309">
        <v>64</v>
      </c>
      <c r="V236" s="149"/>
      <c r="W236" s="127"/>
    </row>
    <row r="237" spans="2:23" ht="13" x14ac:dyDescent="0.3">
      <c r="B237" s="304"/>
      <c r="C237" s="310" t="s">
        <v>334</v>
      </c>
      <c r="D237" s="306">
        <v>7</v>
      </c>
      <c r="E237" s="306"/>
      <c r="F237" s="307">
        <v>17</v>
      </c>
      <c r="G237" s="307">
        <v>9</v>
      </c>
      <c r="H237" s="308">
        <v>52</v>
      </c>
      <c r="I237" s="307"/>
      <c r="J237" s="307"/>
      <c r="K237" s="308"/>
      <c r="L237" s="307" t="s">
        <v>515</v>
      </c>
      <c r="M237" s="307" t="s">
        <v>515</v>
      </c>
      <c r="N237" s="308"/>
      <c r="O237" s="307" t="s">
        <v>515</v>
      </c>
      <c r="P237" s="307" t="s">
        <v>515</v>
      </c>
      <c r="Q237" s="308"/>
      <c r="R237" s="307" t="s">
        <v>515</v>
      </c>
      <c r="S237" s="307" t="s">
        <v>515</v>
      </c>
      <c r="T237" s="308"/>
      <c r="U237" s="309">
        <v>52</v>
      </c>
      <c r="V237" s="149"/>
      <c r="W237" s="127"/>
    </row>
    <row r="238" spans="2:23" ht="13" x14ac:dyDescent="0.3">
      <c r="B238" s="304"/>
      <c r="C238" s="310" t="s">
        <v>393</v>
      </c>
      <c r="D238" s="306">
        <v>7</v>
      </c>
      <c r="E238" s="306"/>
      <c r="F238" s="307"/>
      <c r="G238" s="307"/>
      <c r="H238" s="308"/>
      <c r="I238" s="307"/>
      <c r="J238" s="307"/>
      <c r="K238" s="308"/>
      <c r="L238" s="307">
        <v>0</v>
      </c>
      <c r="M238" s="307">
        <v>0</v>
      </c>
      <c r="N238" s="308">
        <v>0</v>
      </c>
      <c r="O238" s="307" t="s">
        <v>515</v>
      </c>
      <c r="P238" s="307" t="s">
        <v>515</v>
      </c>
      <c r="Q238" s="308"/>
      <c r="R238" s="307" t="s">
        <v>515</v>
      </c>
      <c r="S238" s="307" t="s">
        <v>515</v>
      </c>
      <c r="T238" s="308"/>
      <c r="U238" s="309">
        <v>0</v>
      </c>
      <c r="V238" s="149"/>
      <c r="W238" s="127"/>
    </row>
    <row r="239" spans="2:23" ht="13" x14ac:dyDescent="0.3">
      <c r="B239" s="152"/>
      <c r="C239" s="153"/>
      <c r="D239" s="154"/>
      <c r="E239" s="154"/>
      <c r="F239" s="154"/>
      <c r="G239" s="154"/>
      <c r="H239" s="146"/>
      <c r="I239" s="154"/>
      <c r="J239" s="154"/>
      <c r="K239" s="155"/>
      <c r="L239" s="155"/>
      <c r="M239" s="155"/>
      <c r="N239" s="155"/>
      <c r="O239" s="155"/>
      <c r="P239" s="155"/>
      <c r="Q239" s="155"/>
      <c r="R239" s="155"/>
      <c r="S239" s="155"/>
      <c r="T239" s="155"/>
      <c r="U239" s="155"/>
      <c r="V239" s="149"/>
      <c r="W239" s="127"/>
    </row>
    <row r="240" spans="2:23" ht="5.5" customHeight="1" x14ac:dyDescent="0.3">
      <c r="B240" s="152"/>
      <c r="C240" s="153"/>
      <c r="D240" s="154"/>
      <c r="E240" s="154"/>
      <c r="F240" s="154"/>
      <c r="G240" s="154"/>
      <c r="H240" s="146"/>
      <c r="I240" s="154"/>
      <c r="J240" s="154"/>
      <c r="K240" s="155"/>
      <c r="L240" s="155"/>
      <c r="M240" s="155"/>
      <c r="N240" s="155"/>
      <c r="O240" s="155"/>
      <c r="P240" s="155"/>
      <c r="Q240" s="155"/>
      <c r="R240" s="155"/>
      <c r="S240" s="155"/>
      <c r="T240" s="155"/>
      <c r="U240" s="155"/>
      <c r="V240" s="149"/>
      <c r="W240" s="127"/>
    </row>
    <row r="241" spans="2:25" ht="39" customHeight="1" x14ac:dyDescent="0.55000000000000004">
      <c r="B241" s="164" t="s">
        <v>343</v>
      </c>
      <c r="C241" s="165"/>
      <c r="D241" s="165"/>
      <c r="E241" s="165"/>
      <c r="F241" s="165"/>
      <c r="G241" s="165"/>
      <c r="H241" s="165"/>
      <c r="I241" s="165"/>
      <c r="J241" s="165"/>
      <c r="K241" s="165"/>
      <c r="L241" s="165"/>
      <c r="M241" s="165"/>
      <c r="N241" s="165"/>
      <c r="O241" s="165"/>
      <c r="P241" s="165"/>
      <c r="Q241" s="165"/>
      <c r="R241" s="165"/>
      <c r="S241" s="165"/>
      <c r="T241" s="165"/>
      <c r="U241" s="165"/>
    </row>
    <row r="242" spans="2:25" ht="37.5" customHeight="1" x14ac:dyDescent="0.3">
      <c r="B242" s="302" t="s">
        <v>472</v>
      </c>
      <c r="C242" s="303"/>
      <c r="D242" s="303"/>
      <c r="E242" s="303"/>
      <c r="F242" s="303"/>
      <c r="G242" s="303"/>
      <c r="H242" s="303"/>
      <c r="I242" s="303"/>
      <c r="J242" s="303"/>
      <c r="K242" s="303"/>
      <c r="L242" s="303"/>
      <c r="M242" s="303"/>
      <c r="N242" s="303"/>
      <c r="O242" s="303"/>
      <c r="P242" s="303"/>
      <c r="Q242" s="303"/>
      <c r="R242" s="303"/>
      <c r="S242" s="303"/>
      <c r="T242" s="303"/>
      <c r="U242" s="303"/>
      <c r="V242" s="30"/>
      <c r="W242" s="30"/>
    </row>
    <row r="243" spans="2:25" ht="12.75" customHeight="1" x14ac:dyDescent="0.3">
      <c r="B243" s="327"/>
      <c r="C243" s="330"/>
      <c r="D243" s="333"/>
      <c r="E243" s="333"/>
      <c r="F243" s="336" t="s">
        <v>220</v>
      </c>
      <c r="G243" s="337"/>
      <c r="H243" s="338"/>
      <c r="I243" s="336" t="s">
        <v>221</v>
      </c>
      <c r="J243" s="342"/>
      <c r="K243" s="343"/>
      <c r="L243" s="336" t="s">
        <v>400</v>
      </c>
      <c r="M243" s="342"/>
      <c r="N243" s="343"/>
      <c r="O243" s="336" t="s">
        <v>287</v>
      </c>
      <c r="P243" s="342"/>
      <c r="Q243" s="343"/>
      <c r="R243" s="336" t="s">
        <v>222</v>
      </c>
      <c r="S243" s="342"/>
      <c r="T243" s="343"/>
      <c r="U243" s="333" t="s">
        <v>213</v>
      </c>
      <c r="V243" s="30"/>
      <c r="W243" s="30"/>
    </row>
    <row r="244" spans="2:25" ht="12.75" customHeight="1" x14ac:dyDescent="0.3">
      <c r="B244" s="328" t="s">
        <v>0</v>
      </c>
      <c r="C244" s="331" t="s">
        <v>1</v>
      </c>
      <c r="D244" s="334" t="s">
        <v>2</v>
      </c>
      <c r="E244" s="334" t="s">
        <v>3</v>
      </c>
      <c r="F244" s="339" t="s">
        <v>288</v>
      </c>
      <c r="G244" s="340"/>
      <c r="H244" s="341"/>
      <c r="I244" s="339" t="s">
        <v>289</v>
      </c>
      <c r="J244" s="344"/>
      <c r="K244" s="345"/>
      <c r="L244" s="339" t="s">
        <v>290</v>
      </c>
      <c r="M244" s="344"/>
      <c r="N244" s="345"/>
      <c r="O244" s="339" t="s">
        <v>291</v>
      </c>
      <c r="P244" s="344"/>
      <c r="Q244" s="345"/>
      <c r="R244" s="339" t="s">
        <v>292</v>
      </c>
      <c r="S244" s="344"/>
      <c r="T244" s="345"/>
      <c r="U244" s="334" t="s">
        <v>9</v>
      </c>
      <c r="V244" s="519" t="s">
        <v>223</v>
      </c>
      <c r="W244" s="521" t="s">
        <v>4</v>
      </c>
    </row>
    <row r="245" spans="2:25" ht="12.75" customHeight="1" x14ac:dyDescent="0.3">
      <c r="B245" s="329"/>
      <c r="C245" s="332"/>
      <c r="D245" s="335"/>
      <c r="E245" s="335"/>
      <c r="F245" s="325" t="s">
        <v>33</v>
      </c>
      <c r="G245" s="325" t="s">
        <v>34</v>
      </c>
      <c r="H245" s="326" t="s">
        <v>35</v>
      </c>
      <c r="I245" s="325" t="s">
        <v>33</v>
      </c>
      <c r="J245" s="325" t="s">
        <v>34</v>
      </c>
      <c r="K245" s="326" t="s">
        <v>35</v>
      </c>
      <c r="L245" s="325" t="s">
        <v>33</v>
      </c>
      <c r="M245" s="325" t="s">
        <v>34</v>
      </c>
      <c r="N245" s="326" t="s">
        <v>35</v>
      </c>
      <c r="O245" s="325" t="s">
        <v>33</v>
      </c>
      <c r="P245" s="325" t="s">
        <v>34</v>
      </c>
      <c r="Q245" s="326" t="s">
        <v>35</v>
      </c>
      <c r="R245" s="325" t="s">
        <v>33</v>
      </c>
      <c r="S245" s="325" t="s">
        <v>34</v>
      </c>
      <c r="T245" s="326" t="s">
        <v>35</v>
      </c>
      <c r="U245" s="335"/>
      <c r="V245" s="520"/>
      <c r="W245" s="522"/>
    </row>
    <row r="246" spans="2:25" ht="12.75" customHeight="1" x14ac:dyDescent="0.3">
      <c r="B246" s="319">
        <v>1</v>
      </c>
      <c r="C246" s="320" t="s">
        <v>270</v>
      </c>
      <c r="D246" s="321">
        <v>8</v>
      </c>
      <c r="E246" s="321"/>
      <c r="F246" s="322">
        <v>20</v>
      </c>
      <c r="G246" s="322">
        <v>12</v>
      </c>
      <c r="H246" s="323">
        <v>64</v>
      </c>
      <c r="I246" s="322"/>
      <c r="J246" s="322"/>
      <c r="K246" s="323"/>
      <c r="L246" s="322">
        <v>20</v>
      </c>
      <c r="M246" s="322">
        <v>12</v>
      </c>
      <c r="N246" s="323">
        <v>64</v>
      </c>
      <c r="O246" s="322">
        <v>20</v>
      </c>
      <c r="P246" s="322">
        <v>12</v>
      </c>
      <c r="Q246" s="323">
        <v>64</v>
      </c>
      <c r="R246" s="322">
        <v>20</v>
      </c>
      <c r="S246" s="322">
        <v>12</v>
      </c>
      <c r="T246" s="323">
        <v>32</v>
      </c>
      <c r="U246" s="324">
        <v>224</v>
      </c>
      <c r="V246" s="140" t="str">
        <f>IF(W246&gt;=3,"Sí","No")</f>
        <v>Sí</v>
      </c>
      <c r="W246" s="141">
        <f>COUNTA(H246,K246,N246,Q246,T246)</f>
        <v>4</v>
      </c>
    </row>
    <row r="247" spans="2:25" ht="13" x14ac:dyDescent="0.3">
      <c r="B247" s="304">
        <v>2</v>
      </c>
      <c r="C247" s="305" t="s">
        <v>267</v>
      </c>
      <c r="D247" s="306">
        <v>8</v>
      </c>
      <c r="E247" s="306"/>
      <c r="F247" s="307">
        <v>14</v>
      </c>
      <c r="G247" s="307">
        <v>7</v>
      </c>
      <c r="H247" s="308">
        <v>42</v>
      </c>
      <c r="I247" s="307">
        <v>20</v>
      </c>
      <c r="J247" s="311">
        <v>6</v>
      </c>
      <c r="K247" s="308">
        <v>52</v>
      </c>
      <c r="L247" s="307">
        <v>17</v>
      </c>
      <c r="M247" s="307">
        <v>9</v>
      </c>
      <c r="N247" s="308">
        <v>52</v>
      </c>
      <c r="O247" s="307">
        <v>17</v>
      </c>
      <c r="P247" s="307">
        <v>9</v>
      </c>
      <c r="Q247" s="308">
        <v>52</v>
      </c>
      <c r="R247" s="307">
        <v>17</v>
      </c>
      <c r="S247" s="307">
        <v>9</v>
      </c>
      <c r="T247" s="308">
        <v>26</v>
      </c>
      <c r="U247" s="309">
        <v>224</v>
      </c>
      <c r="V247" s="140" t="str">
        <f>IF(W247&gt;=3,"Sí","No")</f>
        <v>Sí</v>
      </c>
      <c r="W247" s="141">
        <f>COUNTA(H247,K247,N247,Q247,T247)</f>
        <v>5</v>
      </c>
    </row>
    <row r="248" spans="2:25" ht="13" x14ac:dyDescent="0.3">
      <c r="B248" s="304">
        <v>3</v>
      </c>
      <c r="C248" s="305" t="s">
        <v>394</v>
      </c>
      <c r="D248" s="306">
        <v>8</v>
      </c>
      <c r="E248" s="306"/>
      <c r="F248" s="307">
        <v>12</v>
      </c>
      <c r="G248" s="307">
        <v>5</v>
      </c>
      <c r="H248" s="308">
        <v>34</v>
      </c>
      <c r="I248" s="307">
        <v>17</v>
      </c>
      <c r="J248" s="311">
        <v>4.5</v>
      </c>
      <c r="K248" s="308">
        <v>43</v>
      </c>
      <c r="L248" s="307">
        <v>14</v>
      </c>
      <c r="M248" s="307">
        <v>7</v>
      </c>
      <c r="N248" s="308">
        <v>42</v>
      </c>
      <c r="O248" s="307">
        <v>0</v>
      </c>
      <c r="P248" s="307">
        <v>0</v>
      </c>
      <c r="Q248" s="308">
        <v>0</v>
      </c>
      <c r="R248" s="307">
        <v>14</v>
      </c>
      <c r="S248" s="307">
        <v>7</v>
      </c>
      <c r="T248" s="308">
        <v>21</v>
      </c>
      <c r="U248" s="309">
        <v>140</v>
      </c>
      <c r="V248" s="140" t="str">
        <f>IF(W248&gt;=3,"Sí","No")</f>
        <v>Sí</v>
      </c>
      <c r="W248" s="141">
        <f>COUNTA(H248,K248,N248,Q248,T248)</f>
        <v>5</v>
      </c>
    </row>
    <row r="249" spans="2:25" ht="13" x14ac:dyDescent="0.3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149"/>
      <c r="W249" s="127"/>
    </row>
    <row r="250" spans="2:25" ht="12.75" customHeight="1" x14ac:dyDescent="0.3">
      <c r="B250" s="1"/>
      <c r="C250" s="235"/>
      <c r="D250" s="311"/>
      <c r="E250" s="285" t="s">
        <v>462</v>
      </c>
      <c r="F250" s="147"/>
      <c r="G250" s="147"/>
      <c r="H250" s="147"/>
      <c r="I250" s="147"/>
      <c r="J250" s="147"/>
      <c r="K250" s="147"/>
      <c r="L250" s="147"/>
      <c r="M250" s="147"/>
      <c r="N250" s="147"/>
      <c r="O250" s="147"/>
      <c r="P250" s="147"/>
      <c r="Q250" s="147"/>
      <c r="R250" s="147"/>
      <c r="S250" s="147"/>
      <c r="T250" s="147"/>
      <c r="U250" s="147"/>
      <c r="V250" s="147"/>
      <c r="W250" s="147"/>
      <c r="X250" s="148"/>
      <c r="Y250" s="262"/>
    </row>
    <row r="251" spans="2:25" ht="13" x14ac:dyDescent="0.3">
      <c r="B251" s="4"/>
      <c r="C251" s="4"/>
      <c r="D251" s="4"/>
      <c r="E251" s="348" t="s">
        <v>504</v>
      </c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149"/>
      <c r="W251" s="127"/>
    </row>
    <row r="252" spans="2:25" ht="13" x14ac:dyDescent="0.3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149"/>
      <c r="W252" s="127"/>
    </row>
    <row r="253" spans="2:25" ht="13" x14ac:dyDescent="0.3">
      <c r="B253" s="301" t="s">
        <v>466</v>
      </c>
      <c r="C253" s="156"/>
      <c r="D253" s="2"/>
      <c r="E253" s="2"/>
      <c r="F253" s="2"/>
      <c r="G253" s="2"/>
      <c r="H253" s="3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149"/>
      <c r="W253" s="127"/>
    </row>
    <row r="254" spans="2:25" ht="19.5" x14ac:dyDescent="0.3">
      <c r="B254" s="327"/>
      <c r="C254" s="330"/>
      <c r="D254" s="333"/>
      <c r="E254" s="333"/>
      <c r="F254" s="336" t="s">
        <v>220</v>
      </c>
      <c r="G254" s="337"/>
      <c r="H254" s="338"/>
      <c r="I254" s="336" t="s">
        <v>221</v>
      </c>
      <c r="J254" s="342"/>
      <c r="K254" s="343"/>
      <c r="L254" s="336" t="s">
        <v>400</v>
      </c>
      <c r="M254" s="342"/>
      <c r="N254" s="343"/>
      <c r="O254" s="336" t="s">
        <v>287</v>
      </c>
      <c r="P254" s="342"/>
      <c r="Q254" s="343"/>
      <c r="R254" s="336" t="s">
        <v>222</v>
      </c>
      <c r="S254" s="342"/>
      <c r="T254" s="343"/>
      <c r="U254" s="333" t="s">
        <v>213</v>
      </c>
      <c r="V254" s="149"/>
      <c r="W254" s="127"/>
    </row>
    <row r="255" spans="2:25" ht="15.5" x14ac:dyDescent="0.3">
      <c r="B255" s="328" t="s">
        <v>0</v>
      </c>
      <c r="C255" s="331" t="s">
        <v>1</v>
      </c>
      <c r="D255" s="334" t="s">
        <v>2</v>
      </c>
      <c r="E255" s="334" t="s">
        <v>3</v>
      </c>
      <c r="F255" s="339" t="s">
        <v>288</v>
      </c>
      <c r="G255" s="340"/>
      <c r="H255" s="341"/>
      <c r="I255" s="339" t="s">
        <v>289</v>
      </c>
      <c r="J255" s="344"/>
      <c r="K255" s="345"/>
      <c r="L255" s="339" t="s">
        <v>290</v>
      </c>
      <c r="M255" s="344"/>
      <c r="N255" s="345"/>
      <c r="O255" s="339" t="s">
        <v>291</v>
      </c>
      <c r="P255" s="344"/>
      <c r="Q255" s="345"/>
      <c r="R255" s="339" t="s">
        <v>292</v>
      </c>
      <c r="S255" s="344"/>
      <c r="T255" s="345"/>
      <c r="U255" s="334" t="s">
        <v>9</v>
      </c>
      <c r="V255" s="149"/>
      <c r="W255" s="127"/>
    </row>
    <row r="256" spans="2:25" ht="13" x14ac:dyDescent="0.3">
      <c r="B256" s="329"/>
      <c r="C256" s="332"/>
      <c r="D256" s="335"/>
      <c r="E256" s="335"/>
      <c r="F256" s="325" t="s">
        <v>33</v>
      </c>
      <c r="G256" s="325" t="s">
        <v>34</v>
      </c>
      <c r="H256" s="326" t="s">
        <v>35</v>
      </c>
      <c r="I256" s="325" t="s">
        <v>33</v>
      </c>
      <c r="J256" s="325" t="s">
        <v>34</v>
      </c>
      <c r="K256" s="326" t="s">
        <v>35</v>
      </c>
      <c r="L256" s="325" t="s">
        <v>33</v>
      </c>
      <c r="M256" s="325" t="s">
        <v>34</v>
      </c>
      <c r="N256" s="326" t="s">
        <v>35</v>
      </c>
      <c r="O256" s="325" t="s">
        <v>33</v>
      </c>
      <c r="P256" s="325" t="s">
        <v>34</v>
      </c>
      <c r="Q256" s="326" t="s">
        <v>35</v>
      </c>
      <c r="R256" s="325" t="s">
        <v>33</v>
      </c>
      <c r="S256" s="325" t="s">
        <v>34</v>
      </c>
      <c r="T256" s="326" t="s">
        <v>35</v>
      </c>
      <c r="U256" s="335"/>
      <c r="V256" s="149"/>
      <c r="W256" s="127"/>
    </row>
    <row r="257" spans="2:25" ht="13" x14ac:dyDescent="0.3">
      <c r="B257" s="353"/>
      <c r="C257" s="320" t="s">
        <v>322</v>
      </c>
      <c r="D257" s="321">
        <v>8</v>
      </c>
      <c r="E257" s="321"/>
      <c r="F257" s="322">
        <v>17</v>
      </c>
      <c r="G257" s="322">
        <v>9</v>
      </c>
      <c r="H257" s="323">
        <v>52</v>
      </c>
      <c r="I257" s="322"/>
      <c r="J257" s="322"/>
      <c r="K257" s="323"/>
      <c r="L257" s="322" t="s">
        <v>515</v>
      </c>
      <c r="M257" s="322" t="s">
        <v>515</v>
      </c>
      <c r="N257" s="323"/>
      <c r="O257" s="322" t="s">
        <v>515</v>
      </c>
      <c r="P257" s="322" t="s">
        <v>515</v>
      </c>
      <c r="Q257" s="323"/>
      <c r="R257" s="322" t="s">
        <v>515</v>
      </c>
      <c r="S257" s="322" t="s">
        <v>515</v>
      </c>
      <c r="T257" s="323"/>
      <c r="U257" s="324">
        <v>52</v>
      </c>
      <c r="V257" s="149"/>
      <c r="W257" s="127"/>
    </row>
    <row r="258" spans="2:25" ht="13" x14ac:dyDescent="0.3">
      <c r="B258" s="316"/>
      <c r="C258" s="305" t="s">
        <v>395</v>
      </c>
      <c r="D258" s="306">
        <v>8</v>
      </c>
      <c r="E258" s="306"/>
      <c r="F258" s="307"/>
      <c r="G258" s="307"/>
      <c r="H258" s="308"/>
      <c r="I258" s="307"/>
      <c r="J258" s="307"/>
      <c r="K258" s="308"/>
      <c r="L258" s="307">
        <v>0</v>
      </c>
      <c r="M258" s="307">
        <v>0</v>
      </c>
      <c r="N258" s="308">
        <v>0</v>
      </c>
      <c r="O258" s="307" t="s">
        <v>515</v>
      </c>
      <c r="P258" s="307" t="s">
        <v>515</v>
      </c>
      <c r="Q258" s="308"/>
      <c r="R258" s="307" t="s">
        <v>515</v>
      </c>
      <c r="S258" s="307" t="s">
        <v>515</v>
      </c>
      <c r="T258" s="308"/>
      <c r="U258" s="309">
        <v>0</v>
      </c>
      <c r="V258" s="149"/>
      <c r="W258" s="127"/>
    </row>
    <row r="259" spans="2:25" ht="13" x14ac:dyDescent="0.3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149"/>
      <c r="W259" s="127"/>
    </row>
    <row r="260" spans="2:25" ht="13" x14ac:dyDescent="0.3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149"/>
      <c r="W260" s="127"/>
    </row>
    <row r="261" spans="2:25" ht="39" customHeight="1" x14ac:dyDescent="0.55000000000000004">
      <c r="B261" s="164" t="s">
        <v>343</v>
      </c>
      <c r="C261" s="165"/>
      <c r="D261" s="165"/>
      <c r="E261" s="165"/>
      <c r="F261" s="165"/>
      <c r="G261" s="165"/>
      <c r="H261" s="165"/>
      <c r="I261" s="165"/>
      <c r="J261" s="165"/>
      <c r="K261" s="165"/>
      <c r="L261" s="165"/>
      <c r="M261" s="165"/>
      <c r="N261" s="165"/>
      <c r="O261" s="165"/>
      <c r="P261" s="165"/>
      <c r="Q261" s="165"/>
      <c r="R261" s="165"/>
      <c r="S261" s="165"/>
      <c r="T261" s="165"/>
      <c r="U261" s="165"/>
    </row>
    <row r="262" spans="2:25" ht="37.5" customHeight="1" x14ac:dyDescent="0.3">
      <c r="B262" s="302" t="s">
        <v>473</v>
      </c>
      <c r="C262" s="303"/>
      <c r="D262" s="303"/>
      <c r="E262" s="303"/>
      <c r="F262" s="303"/>
      <c r="G262" s="303"/>
      <c r="H262" s="303"/>
      <c r="I262" s="303"/>
      <c r="J262" s="303"/>
      <c r="K262" s="303"/>
      <c r="L262" s="303"/>
      <c r="M262" s="303"/>
      <c r="N262" s="303"/>
      <c r="O262" s="303"/>
      <c r="P262" s="303"/>
      <c r="Q262" s="303"/>
      <c r="R262" s="303"/>
      <c r="S262" s="303"/>
      <c r="T262" s="303"/>
      <c r="U262" s="303"/>
      <c r="V262" s="30"/>
      <c r="W262" s="30"/>
    </row>
    <row r="263" spans="2:25" ht="12.75" customHeight="1" x14ac:dyDescent="0.3">
      <c r="B263" s="327"/>
      <c r="C263" s="330"/>
      <c r="D263" s="333"/>
      <c r="E263" s="333"/>
      <c r="F263" s="336" t="s">
        <v>220</v>
      </c>
      <c r="G263" s="337"/>
      <c r="H263" s="338"/>
      <c r="I263" s="336" t="s">
        <v>221</v>
      </c>
      <c r="J263" s="342"/>
      <c r="K263" s="343"/>
      <c r="L263" s="336" t="s">
        <v>400</v>
      </c>
      <c r="M263" s="342"/>
      <c r="N263" s="343"/>
      <c r="O263" s="336" t="s">
        <v>287</v>
      </c>
      <c r="P263" s="342"/>
      <c r="Q263" s="343"/>
      <c r="R263" s="336" t="s">
        <v>222</v>
      </c>
      <c r="S263" s="342"/>
      <c r="T263" s="343"/>
      <c r="U263" s="333" t="s">
        <v>213</v>
      </c>
      <c r="V263" s="30"/>
      <c r="W263" s="30"/>
    </row>
    <row r="264" spans="2:25" ht="12.75" customHeight="1" x14ac:dyDescent="0.3">
      <c r="B264" s="328" t="s">
        <v>0</v>
      </c>
      <c r="C264" s="331" t="s">
        <v>166</v>
      </c>
      <c r="D264" s="334" t="s">
        <v>2</v>
      </c>
      <c r="E264" s="334" t="s">
        <v>3</v>
      </c>
      <c r="F264" s="339" t="s">
        <v>288</v>
      </c>
      <c r="G264" s="340"/>
      <c r="H264" s="341"/>
      <c r="I264" s="339" t="s">
        <v>289</v>
      </c>
      <c r="J264" s="344"/>
      <c r="K264" s="345"/>
      <c r="L264" s="339" t="s">
        <v>290</v>
      </c>
      <c r="M264" s="344"/>
      <c r="N264" s="345"/>
      <c r="O264" s="339" t="s">
        <v>291</v>
      </c>
      <c r="P264" s="344"/>
      <c r="Q264" s="345"/>
      <c r="R264" s="339" t="s">
        <v>292</v>
      </c>
      <c r="S264" s="344"/>
      <c r="T264" s="345"/>
      <c r="U264" s="334" t="s">
        <v>9</v>
      </c>
      <c r="V264" s="519" t="s">
        <v>223</v>
      </c>
      <c r="W264" s="521" t="s">
        <v>4</v>
      </c>
    </row>
    <row r="265" spans="2:25" ht="12.75" customHeight="1" x14ac:dyDescent="0.3">
      <c r="B265" s="329"/>
      <c r="C265" s="332"/>
      <c r="D265" s="335"/>
      <c r="E265" s="335"/>
      <c r="F265" s="325" t="s">
        <v>33</v>
      </c>
      <c r="G265" s="325" t="s">
        <v>34</v>
      </c>
      <c r="H265" s="326" t="s">
        <v>35</v>
      </c>
      <c r="I265" s="325" t="s">
        <v>33</v>
      </c>
      <c r="J265" s="325" t="s">
        <v>34</v>
      </c>
      <c r="K265" s="326" t="s">
        <v>35</v>
      </c>
      <c r="L265" s="325" t="s">
        <v>33</v>
      </c>
      <c r="M265" s="325" t="s">
        <v>34</v>
      </c>
      <c r="N265" s="326" t="s">
        <v>35</v>
      </c>
      <c r="O265" s="325" t="s">
        <v>33</v>
      </c>
      <c r="P265" s="325" t="s">
        <v>34</v>
      </c>
      <c r="Q265" s="326" t="s">
        <v>35</v>
      </c>
      <c r="R265" s="325" t="s">
        <v>33</v>
      </c>
      <c r="S265" s="325" t="s">
        <v>34</v>
      </c>
      <c r="T265" s="326" t="s">
        <v>35</v>
      </c>
      <c r="U265" s="335"/>
      <c r="V265" s="520"/>
      <c r="W265" s="522"/>
    </row>
    <row r="266" spans="2:25" ht="12.75" customHeight="1" x14ac:dyDescent="0.3">
      <c r="B266" s="319">
        <v>1</v>
      </c>
      <c r="C266" s="320" t="s">
        <v>268</v>
      </c>
      <c r="D266" s="321">
        <v>8</v>
      </c>
      <c r="E266" s="321"/>
      <c r="F266" s="322">
        <v>14</v>
      </c>
      <c r="G266" s="322">
        <v>7</v>
      </c>
      <c r="H266" s="323">
        <v>42</v>
      </c>
      <c r="I266" s="322">
        <v>20</v>
      </c>
      <c r="J266" s="350">
        <v>6</v>
      </c>
      <c r="K266" s="323">
        <v>52</v>
      </c>
      <c r="L266" s="322">
        <v>20</v>
      </c>
      <c r="M266" s="322">
        <v>12</v>
      </c>
      <c r="N266" s="323">
        <v>64</v>
      </c>
      <c r="O266" s="322">
        <v>20</v>
      </c>
      <c r="P266" s="350">
        <v>6</v>
      </c>
      <c r="Q266" s="323">
        <v>52</v>
      </c>
      <c r="R266" s="322">
        <v>17</v>
      </c>
      <c r="S266" s="322">
        <v>9</v>
      </c>
      <c r="T266" s="323">
        <v>26</v>
      </c>
      <c r="U266" s="324">
        <v>236</v>
      </c>
      <c r="V266" s="140" t="str">
        <f>IF(W266&gt;=3,"Sí","No")</f>
        <v>Sí</v>
      </c>
      <c r="W266" s="141">
        <f>COUNTA(H266,K266,N266,Q266,T266)</f>
        <v>5</v>
      </c>
    </row>
    <row r="267" spans="2:25" ht="13" x14ac:dyDescent="0.3">
      <c r="B267" s="304">
        <v>2</v>
      </c>
      <c r="C267" s="305" t="s">
        <v>324</v>
      </c>
      <c r="D267" s="306">
        <v>8</v>
      </c>
      <c r="E267" s="306"/>
      <c r="F267" s="307">
        <v>12</v>
      </c>
      <c r="G267" s="307">
        <v>5</v>
      </c>
      <c r="H267" s="308">
        <v>34</v>
      </c>
      <c r="I267" s="307">
        <v>17</v>
      </c>
      <c r="J267" s="311">
        <v>4.5</v>
      </c>
      <c r="K267" s="308">
        <v>43</v>
      </c>
      <c r="L267" s="307">
        <v>17</v>
      </c>
      <c r="M267" s="307">
        <v>9</v>
      </c>
      <c r="N267" s="308">
        <v>52</v>
      </c>
      <c r="O267" s="307">
        <v>0</v>
      </c>
      <c r="P267" s="311">
        <v>0</v>
      </c>
      <c r="Q267" s="308">
        <v>0</v>
      </c>
      <c r="R267" s="307">
        <v>14</v>
      </c>
      <c r="S267" s="307">
        <v>7</v>
      </c>
      <c r="T267" s="308">
        <v>21</v>
      </c>
      <c r="U267" s="309">
        <v>150</v>
      </c>
      <c r="V267" s="140" t="str">
        <f>IF(W267&gt;=3,"Sí","No")</f>
        <v>Sí</v>
      </c>
      <c r="W267" s="141">
        <f>COUNTA(H267,K267,N267,Q267,T267)</f>
        <v>5</v>
      </c>
    </row>
    <row r="268" spans="2:25" ht="13" x14ac:dyDescent="0.3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149"/>
      <c r="W268" s="127"/>
    </row>
    <row r="269" spans="2:25" ht="12.75" customHeight="1" x14ac:dyDescent="0.3">
      <c r="B269" s="1"/>
      <c r="C269" s="235"/>
      <c r="D269" s="311"/>
      <c r="E269" s="285" t="s">
        <v>462</v>
      </c>
      <c r="F269" s="147"/>
      <c r="G269" s="147"/>
      <c r="H269" s="147"/>
      <c r="I269" s="147"/>
      <c r="J269" s="147"/>
      <c r="K269" s="147"/>
      <c r="L269" s="147"/>
      <c r="M269" s="147"/>
      <c r="N269" s="147"/>
      <c r="O269" s="147"/>
      <c r="P269" s="147"/>
      <c r="Q269" s="147"/>
      <c r="R269" s="147"/>
      <c r="S269" s="147"/>
      <c r="T269" s="147"/>
      <c r="U269" s="147"/>
      <c r="V269" s="147"/>
      <c r="W269" s="147"/>
      <c r="X269" s="148"/>
      <c r="Y269" s="262"/>
    </row>
    <row r="270" spans="2:25" ht="13" x14ac:dyDescent="0.3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149"/>
      <c r="W270" s="127"/>
    </row>
    <row r="271" spans="2:25" ht="13" x14ac:dyDescent="0.3">
      <c r="B271" s="301" t="s">
        <v>470</v>
      </c>
      <c r="C271" s="156"/>
      <c r="D271" s="2"/>
      <c r="E271" s="2"/>
      <c r="F271" s="2"/>
      <c r="G271" s="2"/>
      <c r="H271" s="3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149"/>
      <c r="W271" s="127"/>
    </row>
    <row r="272" spans="2:25" ht="19.5" x14ac:dyDescent="0.3">
      <c r="B272" s="327"/>
      <c r="C272" s="330"/>
      <c r="D272" s="333"/>
      <c r="E272" s="333"/>
      <c r="F272" s="336" t="s">
        <v>220</v>
      </c>
      <c r="G272" s="337"/>
      <c r="H272" s="338"/>
      <c r="I272" s="336" t="s">
        <v>221</v>
      </c>
      <c r="J272" s="342"/>
      <c r="K272" s="343"/>
      <c r="L272" s="336" t="s">
        <v>400</v>
      </c>
      <c r="M272" s="342"/>
      <c r="N272" s="343"/>
      <c r="O272" s="336" t="s">
        <v>287</v>
      </c>
      <c r="P272" s="342"/>
      <c r="Q272" s="343"/>
      <c r="R272" s="336" t="s">
        <v>222</v>
      </c>
      <c r="S272" s="342"/>
      <c r="T272" s="343"/>
      <c r="U272" s="333" t="s">
        <v>213</v>
      </c>
      <c r="V272" s="149"/>
      <c r="W272" s="127"/>
    </row>
    <row r="273" spans="2:25" ht="15.5" x14ac:dyDescent="0.3">
      <c r="B273" s="328" t="s">
        <v>0</v>
      </c>
      <c r="C273" s="331" t="s">
        <v>166</v>
      </c>
      <c r="D273" s="334" t="s">
        <v>2</v>
      </c>
      <c r="E273" s="334" t="s">
        <v>3</v>
      </c>
      <c r="F273" s="339" t="s">
        <v>288</v>
      </c>
      <c r="G273" s="340"/>
      <c r="H273" s="341"/>
      <c r="I273" s="339" t="s">
        <v>289</v>
      </c>
      <c r="J273" s="344"/>
      <c r="K273" s="345"/>
      <c r="L273" s="339" t="s">
        <v>290</v>
      </c>
      <c r="M273" s="344"/>
      <c r="N273" s="345"/>
      <c r="O273" s="339" t="s">
        <v>291</v>
      </c>
      <c r="P273" s="344"/>
      <c r="Q273" s="345"/>
      <c r="R273" s="339" t="s">
        <v>292</v>
      </c>
      <c r="S273" s="344"/>
      <c r="T273" s="345"/>
      <c r="U273" s="334" t="s">
        <v>9</v>
      </c>
      <c r="V273" s="149"/>
      <c r="W273" s="127"/>
    </row>
    <row r="274" spans="2:25" ht="13" x14ac:dyDescent="0.3">
      <c r="B274" s="329"/>
      <c r="C274" s="332"/>
      <c r="D274" s="335"/>
      <c r="E274" s="335"/>
      <c r="F274" s="325" t="s">
        <v>33</v>
      </c>
      <c r="G274" s="325" t="s">
        <v>34</v>
      </c>
      <c r="H274" s="326" t="s">
        <v>35</v>
      </c>
      <c r="I274" s="325" t="s">
        <v>33</v>
      </c>
      <c r="J274" s="325" t="s">
        <v>34</v>
      </c>
      <c r="K274" s="326" t="s">
        <v>35</v>
      </c>
      <c r="L274" s="325" t="s">
        <v>33</v>
      </c>
      <c r="M274" s="325" t="s">
        <v>34</v>
      </c>
      <c r="N274" s="326" t="s">
        <v>35</v>
      </c>
      <c r="O274" s="325" t="s">
        <v>33</v>
      </c>
      <c r="P274" s="325" t="s">
        <v>34</v>
      </c>
      <c r="Q274" s="326" t="s">
        <v>35</v>
      </c>
      <c r="R274" s="325" t="s">
        <v>33</v>
      </c>
      <c r="S274" s="325" t="s">
        <v>34</v>
      </c>
      <c r="T274" s="326" t="s">
        <v>35</v>
      </c>
      <c r="U274" s="335"/>
      <c r="V274" s="149"/>
      <c r="W274" s="127"/>
    </row>
    <row r="275" spans="2:25" ht="13" x14ac:dyDescent="0.3">
      <c r="B275" s="353"/>
      <c r="C275" s="320" t="s">
        <v>321</v>
      </c>
      <c r="D275" s="321">
        <v>8</v>
      </c>
      <c r="E275" s="321"/>
      <c r="F275" s="322">
        <v>20</v>
      </c>
      <c r="G275" s="322">
        <v>12</v>
      </c>
      <c r="H275" s="323">
        <v>64</v>
      </c>
      <c r="I275" s="322"/>
      <c r="J275" s="322"/>
      <c r="K275" s="323"/>
      <c r="L275" s="322" t="s">
        <v>515</v>
      </c>
      <c r="M275" s="322" t="s">
        <v>515</v>
      </c>
      <c r="N275" s="323"/>
      <c r="O275" s="322" t="s">
        <v>515</v>
      </c>
      <c r="P275" s="322" t="s">
        <v>515</v>
      </c>
      <c r="Q275" s="323"/>
      <c r="R275" s="322">
        <v>20</v>
      </c>
      <c r="S275" s="322">
        <v>12</v>
      </c>
      <c r="T275" s="323">
        <v>32</v>
      </c>
      <c r="U275" s="324">
        <v>96</v>
      </c>
      <c r="V275" s="149"/>
      <c r="W275" s="127"/>
    </row>
    <row r="276" spans="2:25" ht="13" x14ac:dyDescent="0.3">
      <c r="B276" s="316"/>
      <c r="C276" s="305" t="s">
        <v>323</v>
      </c>
      <c r="D276" s="306">
        <v>8</v>
      </c>
      <c r="E276" s="306"/>
      <c r="F276" s="307">
        <v>17</v>
      </c>
      <c r="G276" s="307">
        <v>9</v>
      </c>
      <c r="H276" s="308">
        <v>52</v>
      </c>
      <c r="I276" s="307"/>
      <c r="J276" s="307"/>
      <c r="K276" s="308"/>
      <c r="L276" s="307" t="s">
        <v>515</v>
      </c>
      <c r="M276" s="307" t="s">
        <v>515</v>
      </c>
      <c r="N276" s="308"/>
      <c r="O276" s="307" t="s">
        <v>515</v>
      </c>
      <c r="P276" s="307" t="s">
        <v>515</v>
      </c>
      <c r="Q276" s="308"/>
      <c r="R276" s="307" t="s">
        <v>515</v>
      </c>
      <c r="S276" s="307" t="s">
        <v>515</v>
      </c>
      <c r="T276" s="308"/>
      <c r="U276" s="309">
        <v>52</v>
      </c>
      <c r="V276" s="149"/>
      <c r="W276" s="127"/>
    </row>
    <row r="277" spans="2:25" ht="13" x14ac:dyDescent="0.3">
      <c r="B277" s="316"/>
      <c r="C277" s="305" t="s">
        <v>399</v>
      </c>
      <c r="D277" s="306">
        <v>8</v>
      </c>
      <c r="E277" s="306"/>
      <c r="F277" s="307"/>
      <c r="G277" s="307"/>
      <c r="H277" s="308"/>
      <c r="I277" s="307"/>
      <c r="J277" s="307"/>
      <c r="K277" s="308"/>
      <c r="L277" s="307">
        <v>0</v>
      </c>
      <c r="M277" s="307">
        <v>0</v>
      </c>
      <c r="N277" s="308">
        <v>0</v>
      </c>
      <c r="O277" s="307" t="s">
        <v>515</v>
      </c>
      <c r="P277" s="307" t="s">
        <v>515</v>
      </c>
      <c r="Q277" s="308"/>
      <c r="R277" s="307" t="s">
        <v>515</v>
      </c>
      <c r="S277" s="307" t="s">
        <v>515</v>
      </c>
      <c r="T277" s="308"/>
      <c r="U277" s="309">
        <v>0</v>
      </c>
      <c r="V277" s="149"/>
      <c r="W277" s="127"/>
    </row>
    <row r="278" spans="2:25" ht="13" x14ac:dyDescent="0.3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149"/>
      <c r="W278" s="127"/>
    </row>
    <row r="279" spans="2:25" ht="13" x14ac:dyDescent="0.3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149"/>
      <c r="W279" s="127"/>
    </row>
    <row r="280" spans="2:25" ht="39" customHeight="1" x14ac:dyDescent="0.55000000000000004">
      <c r="B280" s="164" t="s">
        <v>343</v>
      </c>
      <c r="C280" s="165"/>
      <c r="D280" s="165"/>
      <c r="E280" s="165"/>
      <c r="F280" s="165"/>
      <c r="G280" s="165"/>
      <c r="H280" s="165"/>
      <c r="I280" s="165"/>
      <c r="J280" s="165"/>
      <c r="K280" s="165"/>
      <c r="L280" s="165"/>
      <c r="M280" s="165"/>
      <c r="N280" s="165"/>
      <c r="O280" s="165"/>
      <c r="P280" s="165"/>
      <c r="Q280" s="165"/>
      <c r="R280" s="165"/>
      <c r="S280" s="165"/>
      <c r="T280" s="165"/>
      <c r="U280" s="165"/>
    </row>
    <row r="281" spans="2:25" ht="37.5" customHeight="1" x14ac:dyDescent="0.3">
      <c r="B281" s="302" t="s">
        <v>474</v>
      </c>
      <c r="C281" s="303"/>
      <c r="D281" s="303"/>
      <c r="E281" s="303"/>
      <c r="F281" s="303"/>
      <c r="G281" s="303"/>
      <c r="H281" s="303"/>
      <c r="I281" s="303"/>
      <c r="J281" s="303"/>
      <c r="K281" s="303"/>
      <c r="L281" s="303"/>
      <c r="M281" s="303"/>
      <c r="N281" s="303"/>
      <c r="O281" s="303"/>
      <c r="P281" s="303"/>
      <c r="Q281" s="303"/>
      <c r="R281" s="303"/>
      <c r="S281" s="303"/>
      <c r="T281" s="303"/>
      <c r="U281" s="303"/>
      <c r="V281" s="30"/>
      <c r="W281" s="30"/>
    </row>
    <row r="282" spans="2:25" ht="12.75" customHeight="1" x14ac:dyDescent="0.3">
      <c r="B282" s="327"/>
      <c r="C282" s="330"/>
      <c r="D282" s="333"/>
      <c r="E282" s="333"/>
      <c r="F282" s="336" t="s">
        <v>220</v>
      </c>
      <c r="G282" s="337"/>
      <c r="H282" s="338"/>
      <c r="I282" s="336" t="s">
        <v>221</v>
      </c>
      <c r="J282" s="342"/>
      <c r="K282" s="343"/>
      <c r="L282" s="336" t="s">
        <v>400</v>
      </c>
      <c r="M282" s="342"/>
      <c r="N282" s="343"/>
      <c r="O282" s="336" t="s">
        <v>287</v>
      </c>
      <c r="P282" s="342"/>
      <c r="Q282" s="343"/>
      <c r="R282" s="336" t="s">
        <v>222</v>
      </c>
      <c r="S282" s="342"/>
      <c r="T282" s="343"/>
      <c r="U282" s="333" t="s">
        <v>213</v>
      </c>
      <c r="V282" s="30"/>
      <c r="W282" s="30"/>
    </row>
    <row r="283" spans="2:25" ht="12.75" customHeight="1" x14ac:dyDescent="0.3">
      <c r="B283" s="328" t="s">
        <v>0</v>
      </c>
      <c r="C283" s="331" t="s">
        <v>345</v>
      </c>
      <c r="D283" s="334" t="s">
        <v>2</v>
      </c>
      <c r="E283" s="334" t="s">
        <v>3</v>
      </c>
      <c r="F283" s="339" t="s">
        <v>288</v>
      </c>
      <c r="G283" s="340"/>
      <c r="H283" s="341"/>
      <c r="I283" s="339" t="s">
        <v>289</v>
      </c>
      <c r="J283" s="344"/>
      <c r="K283" s="345"/>
      <c r="L283" s="339" t="s">
        <v>290</v>
      </c>
      <c r="M283" s="344"/>
      <c r="N283" s="345"/>
      <c r="O283" s="339" t="s">
        <v>291</v>
      </c>
      <c r="P283" s="344"/>
      <c r="Q283" s="345"/>
      <c r="R283" s="339" t="s">
        <v>292</v>
      </c>
      <c r="S283" s="344"/>
      <c r="T283" s="345"/>
      <c r="U283" s="334" t="s">
        <v>9</v>
      </c>
      <c r="V283" s="519" t="s">
        <v>223</v>
      </c>
      <c r="W283" s="521" t="s">
        <v>4</v>
      </c>
    </row>
    <row r="284" spans="2:25" ht="12.75" customHeight="1" x14ac:dyDescent="0.3">
      <c r="B284" s="329"/>
      <c r="C284" s="332"/>
      <c r="D284" s="335"/>
      <c r="E284" s="335"/>
      <c r="F284" s="325" t="s">
        <v>33</v>
      </c>
      <c r="G284" s="325" t="s">
        <v>34</v>
      </c>
      <c r="H284" s="326" t="s">
        <v>35</v>
      </c>
      <c r="I284" s="325" t="s">
        <v>33</v>
      </c>
      <c r="J284" s="325" t="s">
        <v>34</v>
      </c>
      <c r="K284" s="326" t="s">
        <v>35</v>
      </c>
      <c r="L284" s="325" t="s">
        <v>33</v>
      </c>
      <c r="M284" s="325" t="s">
        <v>34</v>
      </c>
      <c r="N284" s="326" t="s">
        <v>35</v>
      </c>
      <c r="O284" s="325" t="s">
        <v>33</v>
      </c>
      <c r="P284" s="325" t="s">
        <v>34</v>
      </c>
      <c r="Q284" s="326" t="s">
        <v>35</v>
      </c>
      <c r="R284" s="325" t="s">
        <v>33</v>
      </c>
      <c r="S284" s="325" t="s">
        <v>34</v>
      </c>
      <c r="T284" s="326" t="s">
        <v>35</v>
      </c>
      <c r="U284" s="335"/>
      <c r="V284" s="520"/>
      <c r="W284" s="522"/>
    </row>
    <row r="285" spans="2:25" ht="12.75" customHeight="1" x14ac:dyDescent="0.3">
      <c r="B285" s="319">
        <v>1</v>
      </c>
      <c r="C285" s="320" t="s">
        <v>349</v>
      </c>
      <c r="D285" s="321">
        <v>8</v>
      </c>
      <c r="E285" s="321"/>
      <c r="F285" s="322">
        <v>14</v>
      </c>
      <c r="G285" s="322">
        <v>7</v>
      </c>
      <c r="H285" s="323">
        <v>42</v>
      </c>
      <c r="I285" s="322">
        <v>20</v>
      </c>
      <c r="J285" s="350">
        <v>6</v>
      </c>
      <c r="K285" s="323">
        <v>52</v>
      </c>
      <c r="L285" s="322">
        <v>17</v>
      </c>
      <c r="M285" s="350">
        <v>4.5</v>
      </c>
      <c r="N285" s="323">
        <v>43</v>
      </c>
      <c r="O285" s="322">
        <v>17</v>
      </c>
      <c r="P285" s="350">
        <v>4.5</v>
      </c>
      <c r="Q285" s="323">
        <v>43</v>
      </c>
      <c r="R285" s="322">
        <v>17</v>
      </c>
      <c r="S285" s="350">
        <v>4.5</v>
      </c>
      <c r="T285" s="323">
        <v>21.5</v>
      </c>
      <c r="U285" s="324">
        <v>201.5</v>
      </c>
      <c r="V285" s="140" t="str">
        <f>IF(W285&gt;=3,"Sí","No")</f>
        <v>Sí</v>
      </c>
      <c r="W285" s="141">
        <f>COUNTA(H285,K285,N285,Q285,T285)</f>
        <v>5</v>
      </c>
    </row>
    <row r="286" spans="2:25" ht="13" x14ac:dyDescent="0.3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149"/>
      <c r="W286" s="127"/>
    </row>
    <row r="287" spans="2:25" ht="12.75" customHeight="1" x14ac:dyDescent="0.3">
      <c r="B287" s="1"/>
      <c r="C287" s="235"/>
      <c r="D287" s="311"/>
      <c r="E287" s="285" t="s">
        <v>462</v>
      </c>
      <c r="F287" s="147"/>
      <c r="G287" s="147"/>
      <c r="H287" s="147"/>
      <c r="I287" s="147"/>
      <c r="J287" s="147"/>
      <c r="K287" s="147"/>
      <c r="L287" s="147"/>
      <c r="M287" s="147"/>
      <c r="N287" s="147"/>
      <c r="O287" s="147"/>
      <c r="P287" s="147"/>
      <c r="Q287" s="147"/>
      <c r="R287" s="147"/>
      <c r="S287" s="147"/>
      <c r="T287" s="147"/>
      <c r="U287" s="147"/>
      <c r="V287" s="147"/>
      <c r="W287" s="147"/>
      <c r="X287" s="148"/>
      <c r="Y287" s="262"/>
    </row>
    <row r="288" spans="2:25" ht="13" x14ac:dyDescent="0.3">
      <c r="B288" s="4"/>
      <c r="C288" s="236"/>
      <c r="D288" s="155"/>
      <c r="E288" s="155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149"/>
      <c r="W288" s="127"/>
    </row>
    <row r="289" spans="2:23" ht="13" x14ac:dyDescent="0.3">
      <c r="B289" s="301" t="s">
        <v>475</v>
      </c>
      <c r="C289" s="156"/>
      <c r="D289" s="2"/>
      <c r="E289" s="2"/>
      <c r="F289" s="2"/>
      <c r="G289" s="2"/>
      <c r="H289" s="3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149"/>
      <c r="W289" s="127"/>
    </row>
    <row r="290" spans="2:23" ht="19.5" x14ac:dyDescent="0.3">
      <c r="B290" s="327"/>
      <c r="C290" s="330"/>
      <c r="D290" s="333"/>
      <c r="E290" s="333"/>
      <c r="F290" s="336" t="s">
        <v>220</v>
      </c>
      <c r="G290" s="337"/>
      <c r="H290" s="338"/>
      <c r="I290" s="336" t="s">
        <v>221</v>
      </c>
      <c r="J290" s="342"/>
      <c r="K290" s="343"/>
      <c r="L290" s="336" t="s">
        <v>400</v>
      </c>
      <c r="M290" s="342"/>
      <c r="N290" s="343"/>
      <c r="O290" s="336" t="s">
        <v>287</v>
      </c>
      <c r="P290" s="342"/>
      <c r="Q290" s="343"/>
      <c r="R290" s="336" t="s">
        <v>222</v>
      </c>
      <c r="S290" s="342"/>
      <c r="T290" s="343"/>
      <c r="U290" s="333" t="s">
        <v>213</v>
      </c>
      <c r="V290" s="149"/>
      <c r="W290" s="127"/>
    </row>
    <row r="291" spans="2:23" ht="15.5" x14ac:dyDescent="0.3">
      <c r="B291" s="328" t="s">
        <v>0</v>
      </c>
      <c r="C291" s="331" t="s">
        <v>345</v>
      </c>
      <c r="D291" s="334" t="s">
        <v>2</v>
      </c>
      <c r="E291" s="334" t="s">
        <v>3</v>
      </c>
      <c r="F291" s="339" t="s">
        <v>288</v>
      </c>
      <c r="G291" s="340"/>
      <c r="H291" s="341"/>
      <c r="I291" s="339" t="s">
        <v>289</v>
      </c>
      <c r="J291" s="344"/>
      <c r="K291" s="345"/>
      <c r="L291" s="339" t="s">
        <v>290</v>
      </c>
      <c r="M291" s="344"/>
      <c r="N291" s="345"/>
      <c r="O291" s="339" t="s">
        <v>291</v>
      </c>
      <c r="P291" s="344"/>
      <c r="Q291" s="345"/>
      <c r="R291" s="339" t="s">
        <v>292</v>
      </c>
      <c r="S291" s="344"/>
      <c r="T291" s="345"/>
      <c r="U291" s="334" t="s">
        <v>9</v>
      </c>
      <c r="V291" s="149"/>
      <c r="W291" s="127"/>
    </row>
    <row r="292" spans="2:23" ht="13" x14ac:dyDescent="0.3">
      <c r="B292" s="329"/>
      <c r="C292" s="332"/>
      <c r="D292" s="335"/>
      <c r="E292" s="335"/>
      <c r="F292" s="325" t="s">
        <v>33</v>
      </c>
      <c r="G292" s="325" t="s">
        <v>34</v>
      </c>
      <c r="H292" s="326" t="s">
        <v>35</v>
      </c>
      <c r="I292" s="325" t="s">
        <v>33</v>
      </c>
      <c r="J292" s="325" t="s">
        <v>34</v>
      </c>
      <c r="K292" s="326" t="s">
        <v>35</v>
      </c>
      <c r="L292" s="325" t="s">
        <v>33</v>
      </c>
      <c r="M292" s="325" t="s">
        <v>34</v>
      </c>
      <c r="N292" s="326" t="s">
        <v>35</v>
      </c>
      <c r="O292" s="325" t="s">
        <v>33</v>
      </c>
      <c r="P292" s="325" t="s">
        <v>34</v>
      </c>
      <c r="Q292" s="326" t="s">
        <v>35</v>
      </c>
      <c r="R292" s="325" t="s">
        <v>33</v>
      </c>
      <c r="S292" s="325" t="s">
        <v>34</v>
      </c>
      <c r="T292" s="326" t="s">
        <v>35</v>
      </c>
      <c r="U292" s="335"/>
      <c r="V292" s="149"/>
      <c r="W292" s="127"/>
    </row>
    <row r="293" spans="2:23" ht="13" x14ac:dyDescent="0.3">
      <c r="B293" s="353"/>
      <c r="C293" s="320" t="s">
        <v>346</v>
      </c>
      <c r="D293" s="321">
        <v>8</v>
      </c>
      <c r="E293" s="321"/>
      <c r="F293" s="322">
        <v>20</v>
      </c>
      <c r="G293" s="322">
        <v>12</v>
      </c>
      <c r="H293" s="323">
        <v>64</v>
      </c>
      <c r="I293" s="349"/>
      <c r="J293" s="349"/>
      <c r="K293" s="323"/>
      <c r="L293" s="322">
        <v>20</v>
      </c>
      <c r="M293" s="350">
        <v>6</v>
      </c>
      <c r="N293" s="323">
        <v>52</v>
      </c>
      <c r="O293" s="322" t="s">
        <v>515</v>
      </c>
      <c r="P293" s="322" t="s">
        <v>515</v>
      </c>
      <c r="Q293" s="323"/>
      <c r="R293" s="322" t="s">
        <v>213</v>
      </c>
      <c r="S293" s="322" t="s">
        <v>213</v>
      </c>
      <c r="T293" s="323"/>
      <c r="U293" s="324">
        <v>116</v>
      </c>
      <c r="V293" s="149"/>
      <c r="W293" s="127"/>
    </row>
    <row r="294" spans="2:23" ht="13" x14ac:dyDescent="0.3">
      <c r="B294" s="316"/>
      <c r="C294" s="305" t="s">
        <v>348</v>
      </c>
      <c r="D294" s="306">
        <v>8</v>
      </c>
      <c r="E294" s="306"/>
      <c r="F294" s="307">
        <v>17</v>
      </c>
      <c r="G294" s="307">
        <v>9</v>
      </c>
      <c r="H294" s="308">
        <v>52</v>
      </c>
      <c r="I294" s="313"/>
      <c r="J294" s="313"/>
      <c r="K294" s="308"/>
      <c r="L294" s="307" t="s">
        <v>515</v>
      </c>
      <c r="M294" s="307" t="s">
        <v>515</v>
      </c>
      <c r="N294" s="308"/>
      <c r="O294" s="307" t="s">
        <v>515</v>
      </c>
      <c r="P294" s="307" t="s">
        <v>515</v>
      </c>
      <c r="Q294" s="308"/>
      <c r="R294" s="307" t="s">
        <v>213</v>
      </c>
      <c r="S294" s="307" t="s">
        <v>213</v>
      </c>
      <c r="T294" s="308"/>
      <c r="U294" s="309">
        <v>52</v>
      </c>
      <c r="V294" s="149"/>
      <c r="W294" s="127"/>
    </row>
    <row r="295" spans="2:23" ht="13" x14ac:dyDescent="0.3">
      <c r="B295" s="4"/>
      <c r="C295" s="236"/>
      <c r="D295" s="155"/>
      <c r="E295" s="155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149"/>
      <c r="W295" s="127"/>
    </row>
    <row r="296" spans="2:23" ht="13" x14ac:dyDescent="0.3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149"/>
      <c r="W296" s="127"/>
    </row>
    <row r="297" spans="2:23" ht="39" customHeight="1" x14ac:dyDescent="0.55000000000000004">
      <c r="B297" s="164" t="s">
        <v>350</v>
      </c>
      <c r="C297" s="165"/>
      <c r="D297" s="165"/>
      <c r="E297" s="165"/>
      <c r="F297" s="165"/>
      <c r="G297" s="165"/>
      <c r="H297" s="165"/>
      <c r="I297" s="165"/>
      <c r="J297" s="165"/>
      <c r="K297" s="165"/>
      <c r="L297" s="165"/>
      <c r="M297" s="165"/>
      <c r="N297" s="165"/>
      <c r="O297" s="165"/>
      <c r="P297" s="165"/>
      <c r="Q297" s="165"/>
      <c r="R297" s="165"/>
      <c r="S297" s="165"/>
      <c r="T297" s="4"/>
      <c r="U297" s="4"/>
    </row>
    <row r="298" spans="2:23" ht="37.5" customHeight="1" x14ac:dyDescent="0.3">
      <c r="B298" s="302" t="s">
        <v>465</v>
      </c>
      <c r="C298" s="303"/>
      <c r="D298" s="303"/>
      <c r="E298" s="303"/>
      <c r="F298" s="303"/>
      <c r="G298" s="303"/>
      <c r="H298" s="303"/>
      <c r="I298" s="303"/>
      <c r="J298" s="303"/>
      <c r="K298" s="303"/>
      <c r="L298" s="303"/>
      <c r="M298" s="303"/>
      <c r="N298" s="303"/>
      <c r="O298" s="303"/>
      <c r="P298" s="303"/>
      <c r="Q298" s="303"/>
      <c r="R298" s="303"/>
      <c r="S298" s="303"/>
      <c r="T298" s="4"/>
      <c r="U298" s="4"/>
      <c r="V298" s="30"/>
      <c r="W298" s="30"/>
    </row>
    <row r="299" spans="2:23" ht="12.75" customHeight="1" x14ac:dyDescent="0.3">
      <c r="B299" s="327"/>
      <c r="C299" s="330"/>
      <c r="D299" s="336"/>
      <c r="E299" s="337"/>
      <c r="F299" s="338"/>
      <c r="G299" s="336"/>
      <c r="H299" s="342"/>
      <c r="I299" s="343"/>
      <c r="J299" s="336"/>
      <c r="K299" s="342"/>
      <c r="L299" s="343"/>
      <c r="M299" s="336"/>
      <c r="N299" s="342"/>
      <c r="O299" s="343"/>
      <c r="P299" s="336"/>
      <c r="Q299" s="342"/>
      <c r="R299" s="343"/>
      <c r="S299" s="333" t="s">
        <v>213</v>
      </c>
      <c r="T299" s="4"/>
      <c r="U299" s="4"/>
      <c r="V299" s="30"/>
      <c r="W299" s="30"/>
    </row>
    <row r="300" spans="2:23" ht="12.75" customHeight="1" x14ac:dyDescent="0.3">
      <c r="B300" s="328" t="s">
        <v>0</v>
      </c>
      <c r="C300" s="331" t="s">
        <v>1</v>
      </c>
      <c r="D300" s="354" t="s">
        <v>220</v>
      </c>
      <c r="E300" s="257"/>
      <c r="F300" s="355"/>
      <c r="G300" s="354" t="s">
        <v>221</v>
      </c>
      <c r="H300" s="259"/>
      <c r="I300" s="356"/>
      <c r="J300" s="354" t="s">
        <v>390</v>
      </c>
      <c r="K300" s="259"/>
      <c r="L300" s="356"/>
      <c r="M300" s="354" t="s">
        <v>287</v>
      </c>
      <c r="N300" s="259"/>
      <c r="O300" s="356"/>
      <c r="P300" s="354" t="s">
        <v>222</v>
      </c>
      <c r="Q300" s="259"/>
      <c r="R300" s="356"/>
      <c r="S300" s="334" t="s">
        <v>9</v>
      </c>
      <c r="T300" s="4"/>
      <c r="U300" s="4"/>
      <c r="V300" s="519" t="s">
        <v>223</v>
      </c>
      <c r="W300" s="521" t="s">
        <v>4</v>
      </c>
    </row>
    <row r="301" spans="2:23" ht="12.75" customHeight="1" x14ac:dyDescent="0.3">
      <c r="B301" s="329"/>
      <c r="C301" s="332"/>
      <c r="D301" s="339"/>
      <c r="E301" s="340"/>
      <c r="F301" s="341"/>
      <c r="G301" s="339"/>
      <c r="H301" s="344"/>
      <c r="I301" s="345"/>
      <c r="J301" s="339"/>
      <c r="K301" s="344"/>
      <c r="L301" s="345"/>
      <c r="M301" s="339"/>
      <c r="N301" s="344"/>
      <c r="O301" s="345"/>
      <c r="P301" s="339"/>
      <c r="Q301" s="344"/>
      <c r="R301" s="345"/>
      <c r="S301" s="335"/>
      <c r="T301" s="4"/>
      <c r="U301" s="4"/>
      <c r="V301" s="520"/>
      <c r="W301" s="522"/>
    </row>
    <row r="302" spans="2:23" ht="12.75" customHeight="1" x14ac:dyDescent="0.3">
      <c r="B302" s="304">
        <v>1</v>
      </c>
      <c r="C302" s="310" t="s">
        <v>295</v>
      </c>
      <c r="D302" s="305" t="s">
        <v>213</v>
      </c>
      <c r="E302" s="311">
        <v>12</v>
      </c>
      <c r="F302" s="305"/>
      <c r="G302" s="305" t="s">
        <v>213</v>
      </c>
      <c r="H302" s="311">
        <v>12</v>
      </c>
      <c r="I302" s="305"/>
      <c r="J302" s="305" t="s">
        <v>213</v>
      </c>
      <c r="K302" s="311">
        <v>18</v>
      </c>
      <c r="L302" s="305"/>
      <c r="M302" s="305" t="s">
        <v>213</v>
      </c>
      <c r="N302" s="311">
        <v>9</v>
      </c>
      <c r="O302" s="305"/>
      <c r="P302" s="305"/>
      <c r="Q302" s="311">
        <v>6</v>
      </c>
      <c r="R302" s="305"/>
      <c r="S302" s="309">
        <v>57</v>
      </c>
      <c r="T302" s="4"/>
      <c r="U302" s="4"/>
      <c r="V302" s="140" t="str">
        <f>IF(W302&gt;=3,"Sí","No")</f>
        <v>Sí</v>
      </c>
      <c r="W302" s="141">
        <f>COUNTA(H302,K302,N302,Q302,E302)</f>
        <v>5</v>
      </c>
    </row>
    <row r="303" spans="2:23" ht="13" x14ac:dyDescent="0.3">
      <c r="B303" s="304">
        <v>2</v>
      </c>
      <c r="C303" s="305" t="s">
        <v>212</v>
      </c>
      <c r="D303" s="305" t="s">
        <v>213</v>
      </c>
      <c r="E303" s="311">
        <v>12</v>
      </c>
      <c r="F303" s="305"/>
      <c r="G303" s="305" t="s">
        <v>213</v>
      </c>
      <c r="H303" s="311">
        <v>9</v>
      </c>
      <c r="I303" s="305"/>
      <c r="J303" s="305" t="s">
        <v>213</v>
      </c>
      <c r="K303" s="311">
        <v>18</v>
      </c>
      <c r="L303" s="305"/>
      <c r="M303" s="305" t="s">
        <v>213</v>
      </c>
      <c r="N303" s="311">
        <v>0</v>
      </c>
      <c r="O303" s="305"/>
      <c r="P303" s="305"/>
      <c r="Q303" s="311">
        <v>3.5</v>
      </c>
      <c r="R303" s="305"/>
      <c r="S303" s="315">
        <v>42.5</v>
      </c>
      <c r="T303" s="4"/>
      <c r="U303" s="4"/>
      <c r="V303" s="140" t="str">
        <f>IF(W303&gt;=3,"Sí","No")</f>
        <v>Sí</v>
      </c>
      <c r="W303" s="141">
        <f>COUNTA(H303,K303,N303,Q303,E303)</f>
        <v>5</v>
      </c>
    </row>
    <row r="304" spans="2:23" x14ac:dyDescent="0.3">
      <c r="B304" s="264"/>
      <c r="C304" s="265"/>
      <c r="D304" s="265"/>
      <c r="E304" s="265"/>
      <c r="F304" s="265"/>
      <c r="G304" s="265"/>
      <c r="H304" s="265"/>
      <c r="I304" s="265"/>
      <c r="J304" s="265"/>
      <c r="K304" s="265"/>
      <c r="L304" s="265"/>
      <c r="M304" s="265"/>
      <c r="N304" s="265"/>
      <c r="O304" s="265"/>
      <c r="P304" s="265"/>
      <c r="Q304" s="265"/>
      <c r="R304" s="265"/>
      <c r="S304" s="265"/>
      <c r="T304" s="4"/>
      <c r="U304" s="4"/>
    </row>
    <row r="305" spans="2:23" ht="12" x14ac:dyDescent="0.3">
      <c r="B305" s="4"/>
      <c r="C305" s="4"/>
      <c r="D305" s="311"/>
      <c r="E305" s="285" t="s">
        <v>435</v>
      </c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</row>
    <row r="306" spans="2:23" ht="12.65" customHeight="1" x14ac:dyDescent="0.3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</row>
    <row r="307" spans="2:23" ht="13" customHeight="1" x14ac:dyDescent="0.3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</row>
    <row r="308" spans="2:23" ht="39" customHeight="1" x14ac:dyDescent="0.55000000000000004">
      <c r="B308" s="164" t="s">
        <v>355</v>
      </c>
      <c r="C308" s="165"/>
      <c r="D308" s="165"/>
      <c r="E308" s="165"/>
      <c r="F308" s="165"/>
      <c r="G308" s="165"/>
      <c r="H308" s="165"/>
      <c r="I308" s="165"/>
      <c r="J308" s="165"/>
      <c r="K308" s="165"/>
      <c r="L308" s="165"/>
      <c r="M308" s="165"/>
      <c r="N308" s="165"/>
      <c r="O308" s="165"/>
      <c r="P308" s="165"/>
      <c r="Q308" s="165"/>
      <c r="R308" s="165"/>
      <c r="S308" s="165"/>
      <c r="T308" s="4"/>
      <c r="U308" s="4"/>
    </row>
    <row r="309" spans="2:23" ht="37.5" customHeight="1" x14ac:dyDescent="0.3">
      <c r="B309" s="302" t="s">
        <v>465</v>
      </c>
      <c r="C309" s="303"/>
      <c r="D309" s="303"/>
      <c r="E309" s="303"/>
      <c r="F309" s="303"/>
      <c r="G309" s="303"/>
      <c r="H309" s="303"/>
      <c r="I309" s="303"/>
      <c r="J309" s="303"/>
      <c r="K309" s="303"/>
      <c r="L309" s="303"/>
      <c r="M309" s="303"/>
      <c r="N309" s="303"/>
      <c r="O309" s="303"/>
      <c r="P309" s="303"/>
      <c r="Q309" s="303"/>
      <c r="R309" s="303"/>
      <c r="S309" s="303"/>
      <c r="T309" s="4"/>
      <c r="U309" s="4"/>
      <c r="V309" s="30"/>
      <c r="W309" s="30"/>
    </row>
    <row r="310" spans="2:23" ht="15.5" x14ac:dyDescent="0.3">
      <c r="B310" s="301" t="s">
        <v>476</v>
      </c>
      <c r="C310" s="303"/>
      <c r="D310" s="303"/>
      <c r="E310" s="303"/>
      <c r="F310" s="303"/>
      <c r="G310" s="303"/>
      <c r="H310" s="303"/>
      <c r="I310" s="303"/>
      <c r="J310" s="303"/>
      <c r="K310" s="303"/>
      <c r="L310" s="303"/>
      <c r="M310" s="303"/>
      <c r="N310" s="303"/>
      <c r="O310" s="303"/>
      <c r="P310" s="303"/>
      <c r="Q310" s="303"/>
      <c r="R310" s="303"/>
      <c r="S310" s="303"/>
      <c r="T310" s="4"/>
      <c r="U310" s="4"/>
      <c r="V310" s="30"/>
      <c r="W310" s="30"/>
    </row>
    <row r="311" spans="2:23" ht="12.75" customHeight="1" x14ac:dyDescent="0.3">
      <c r="B311" s="327"/>
      <c r="C311" s="330"/>
      <c r="D311" s="336"/>
      <c r="E311" s="337"/>
      <c r="F311" s="338"/>
      <c r="G311" s="336"/>
      <c r="H311" s="342"/>
      <c r="I311" s="343"/>
      <c r="J311" s="336"/>
      <c r="K311" s="342"/>
      <c r="L311" s="343"/>
      <c r="M311" s="336"/>
      <c r="N311" s="342"/>
      <c r="O311" s="343"/>
      <c r="P311" s="336"/>
      <c r="Q311" s="342"/>
      <c r="R311" s="343"/>
      <c r="S311" s="333" t="s">
        <v>213</v>
      </c>
      <c r="T311" s="4"/>
      <c r="U311" s="4"/>
      <c r="V311" s="30"/>
      <c r="W311" s="30"/>
    </row>
    <row r="312" spans="2:23" ht="12.75" customHeight="1" x14ac:dyDescent="0.3">
      <c r="B312" s="328" t="s">
        <v>0</v>
      </c>
      <c r="C312" s="331" t="s">
        <v>1</v>
      </c>
      <c r="D312" s="354" t="s">
        <v>220</v>
      </c>
      <c r="E312" s="257"/>
      <c r="F312" s="355"/>
      <c r="G312" s="354" t="s">
        <v>221</v>
      </c>
      <c r="H312" s="259"/>
      <c r="I312" s="356"/>
      <c r="J312" s="354" t="s">
        <v>390</v>
      </c>
      <c r="K312" s="259"/>
      <c r="L312" s="356"/>
      <c r="M312" s="354" t="s">
        <v>287</v>
      </c>
      <c r="N312" s="259"/>
      <c r="O312" s="356"/>
      <c r="P312" s="354" t="s">
        <v>222</v>
      </c>
      <c r="Q312" s="259"/>
      <c r="R312" s="356"/>
      <c r="S312" s="334" t="s">
        <v>9</v>
      </c>
      <c r="T312" s="4"/>
      <c r="U312" s="4"/>
      <c r="V312" s="519" t="s">
        <v>223</v>
      </c>
      <c r="W312" s="521" t="s">
        <v>4</v>
      </c>
    </row>
    <row r="313" spans="2:23" ht="12.75" customHeight="1" x14ac:dyDescent="0.3">
      <c r="B313" s="329"/>
      <c r="C313" s="332"/>
      <c r="D313" s="339"/>
      <c r="E313" s="340"/>
      <c r="F313" s="341"/>
      <c r="G313" s="339"/>
      <c r="H313" s="344"/>
      <c r="I313" s="345"/>
      <c r="J313" s="339"/>
      <c r="K313" s="344"/>
      <c r="L313" s="345"/>
      <c r="M313" s="339"/>
      <c r="N313" s="344"/>
      <c r="O313" s="345"/>
      <c r="P313" s="339"/>
      <c r="Q313" s="344"/>
      <c r="R313" s="345"/>
      <c r="S313" s="335"/>
      <c r="T313" s="4"/>
      <c r="U313" s="4"/>
      <c r="V313" s="520"/>
      <c r="W313" s="522"/>
    </row>
    <row r="314" spans="2:23" ht="12.75" customHeight="1" x14ac:dyDescent="0.3">
      <c r="B314" s="304"/>
      <c r="C314" s="305" t="s">
        <v>339</v>
      </c>
      <c r="D314" s="305" t="s">
        <v>213</v>
      </c>
      <c r="E314" s="311">
        <v>0</v>
      </c>
      <c r="F314" s="305"/>
      <c r="G314" s="313"/>
      <c r="H314" s="313"/>
      <c r="I314" s="308"/>
      <c r="J314" s="313"/>
      <c r="K314" s="313"/>
      <c r="L314" s="308"/>
      <c r="M314" s="313"/>
      <c r="N314" s="313"/>
      <c r="O314" s="308"/>
      <c r="P314" s="313"/>
      <c r="Q314" s="313"/>
      <c r="R314" s="308"/>
      <c r="S314" s="309">
        <v>0</v>
      </c>
      <c r="T314" s="4"/>
      <c r="U314" s="4"/>
      <c r="V314" s="140" t="str">
        <f>IF(W314&gt;=3,"Sí","No")</f>
        <v>No</v>
      </c>
      <c r="W314" s="141">
        <f>COUNTA(H314,K314,N314,Q314,E314)</f>
        <v>1</v>
      </c>
    </row>
    <row r="315" spans="2:23" x14ac:dyDescent="0.3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</row>
    <row r="316" spans="2:23" ht="12" x14ac:dyDescent="0.3">
      <c r="B316" s="4"/>
      <c r="C316" s="4"/>
      <c r="D316" s="311"/>
      <c r="E316" s="285" t="s">
        <v>435</v>
      </c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</row>
    <row r="317" spans="2:23" ht="12" x14ac:dyDescent="0.3">
      <c r="B317" s="4"/>
      <c r="C317" s="236" t="s">
        <v>510</v>
      </c>
      <c r="D317" s="317" t="s">
        <v>467</v>
      </c>
      <c r="E317" s="155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</row>
    <row r="318" spans="2:23" ht="12" x14ac:dyDescent="0.3">
      <c r="B318" s="4"/>
      <c r="C318" s="236"/>
      <c r="D318" s="155"/>
      <c r="E318" s="155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</row>
    <row r="319" spans="2:23" ht="12" x14ac:dyDescent="0.3">
      <c r="B319" s="4"/>
      <c r="C319" s="236"/>
      <c r="D319" s="155"/>
      <c r="E319" s="155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</row>
    <row r="320" spans="2:23" ht="39" customHeight="1" x14ac:dyDescent="0.55000000000000004">
      <c r="B320" s="164" t="s">
        <v>351</v>
      </c>
      <c r="C320" s="165"/>
      <c r="D320" s="165"/>
      <c r="E320" s="165"/>
      <c r="F320" s="165"/>
      <c r="G320" s="165"/>
      <c r="H320" s="165"/>
      <c r="I320" s="165"/>
      <c r="J320" s="165"/>
      <c r="K320" s="165"/>
      <c r="L320" s="165"/>
      <c r="M320" s="165"/>
      <c r="N320" s="165"/>
      <c r="O320" s="165"/>
      <c r="P320" s="165"/>
      <c r="Q320" s="165"/>
      <c r="R320" s="165"/>
      <c r="S320" s="165"/>
      <c r="T320" s="4"/>
      <c r="U320" s="4"/>
    </row>
    <row r="321" spans="1:16384" ht="37.5" customHeight="1" x14ac:dyDescent="0.3">
      <c r="B321" s="302" t="s">
        <v>469</v>
      </c>
      <c r="C321" s="303"/>
      <c r="D321" s="303"/>
      <c r="E321" s="303"/>
      <c r="F321" s="303"/>
      <c r="G321" s="303"/>
      <c r="H321" s="303"/>
      <c r="I321" s="303"/>
      <c r="J321" s="303"/>
      <c r="K321" s="303"/>
      <c r="L321" s="303"/>
      <c r="M321" s="303"/>
      <c r="N321" s="303"/>
      <c r="O321" s="303"/>
      <c r="P321" s="303"/>
      <c r="Q321" s="303"/>
      <c r="R321" s="303"/>
      <c r="S321" s="303"/>
      <c r="T321" s="4"/>
      <c r="U321" s="4"/>
      <c r="V321" s="30"/>
      <c r="W321" s="30"/>
    </row>
    <row r="322" spans="1:16384" ht="12.75" customHeight="1" x14ac:dyDescent="0.3">
      <c r="B322" s="327"/>
      <c r="C322" s="330"/>
      <c r="D322" s="336"/>
      <c r="E322" s="337"/>
      <c r="F322" s="338"/>
      <c r="G322" s="336"/>
      <c r="H322" s="342"/>
      <c r="I322" s="343"/>
      <c r="J322" s="336"/>
      <c r="K322" s="342"/>
      <c r="L322" s="343"/>
      <c r="M322" s="336"/>
      <c r="N322" s="342"/>
      <c r="O322" s="343"/>
      <c r="P322" s="336"/>
      <c r="Q322" s="342"/>
      <c r="R322" s="343"/>
      <c r="S322" s="333" t="s">
        <v>213</v>
      </c>
      <c r="T322" s="4"/>
      <c r="U322" s="4"/>
      <c r="V322" s="30"/>
      <c r="W322" s="30"/>
    </row>
    <row r="323" spans="1:16384" ht="12.75" customHeight="1" x14ac:dyDescent="0.3">
      <c r="B323" s="328" t="s">
        <v>0</v>
      </c>
      <c r="C323" s="331" t="s">
        <v>166</v>
      </c>
      <c r="D323" s="354" t="s">
        <v>220</v>
      </c>
      <c r="E323" s="257"/>
      <c r="F323" s="355"/>
      <c r="G323" s="354" t="s">
        <v>221</v>
      </c>
      <c r="H323" s="259"/>
      <c r="I323" s="356"/>
      <c r="J323" s="354" t="s">
        <v>390</v>
      </c>
      <c r="K323" s="259"/>
      <c r="L323" s="356"/>
      <c r="M323" s="354" t="s">
        <v>287</v>
      </c>
      <c r="N323" s="259"/>
      <c r="O323" s="356"/>
      <c r="P323" s="354" t="s">
        <v>222</v>
      </c>
      <c r="Q323" s="259"/>
      <c r="R323" s="356"/>
      <c r="S323" s="334" t="s">
        <v>9</v>
      </c>
      <c r="T323" s="4"/>
      <c r="U323" s="4"/>
      <c r="V323" s="519" t="s">
        <v>223</v>
      </c>
      <c r="W323" s="521" t="s">
        <v>4</v>
      </c>
    </row>
    <row r="324" spans="1:16384" ht="12.75" customHeight="1" x14ac:dyDescent="0.3">
      <c r="B324" s="329"/>
      <c r="C324" s="332"/>
      <c r="D324" s="339"/>
      <c r="E324" s="340"/>
      <c r="F324" s="341"/>
      <c r="G324" s="339"/>
      <c r="H324" s="344"/>
      <c r="I324" s="345"/>
      <c r="J324" s="339"/>
      <c r="K324" s="344"/>
      <c r="L324" s="345"/>
      <c r="M324" s="339"/>
      <c r="N324" s="344"/>
      <c r="O324" s="345"/>
      <c r="P324" s="339"/>
      <c r="Q324" s="344"/>
      <c r="R324" s="345"/>
      <c r="S324" s="335"/>
      <c r="T324" s="4"/>
      <c r="U324" s="4"/>
      <c r="V324" s="520"/>
      <c r="W324" s="522"/>
    </row>
    <row r="325" spans="1:16384" ht="12.75" customHeight="1" x14ac:dyDescent="0.3">
      <c r="B325" s="304">
        <v>1</v>
      </c>
      <c r="C325" s="305" t="s">
        <v>358</v>
      </c>
      <c r="D325" s="313"/>
      <c r="E325" s="313"/>
      <c r="F325" s="308"/>
      <c r="G325" s="305"/>
      <c r="H325" s="313">
        <v>24</v>
      </c>
      <c r="I325" s="305"/>
      <c r="J325" s="305"/>
      <c r="K325" s="313">
        <v>36</v>
      </c>
      <c r="L325" s="305"/>
      <c r="M325" s="305"/>
      <c r="N325" s="313">
        <v>24</v>
      </c>
      <c r="O325" s="305"/>
      <c r="P325" s="305"/>
      <c r="Q325" s="313">
        <v>12</v>
      </c>
      <c r="R325" s="305"/>
      <c r="S325" s="309">
        <v>96</v>
      </c>
      <c r="T325" s="4"/>
      <c r="U325" s="4"/>
      <c r="V325" s="140" t="str">
        <f t="shared" ref="V325:V332" si="6">IF(W325&gt;=3,"Sí","No")</f>
        <v>Sí</v>
      </c>
      <c r="W325" s="141">
        <f t="shared" ref="W325:W332" si="7">COUNTA(H325,K325,N325,Q325,E325)</f>
        <v>4</v>
      </c>
    </row>
    <row r="326" spans="1:16384" ht="13" x14ac:dyDescent="0.3">
      <c r="B326" s="304">
        <v>2</v>
      </c>
      <c r="C326" s="305" t="s">
        <v>274</v>
      </c>
      <c r="D326" s="305"/>
      <c r="E326" s="313">
        <v>14</v>
      </c>
      <c r="F326" s="305"/>
      <c r="G326" s="313"/>
      <c r="H326" s="313">
        <v>10</v>
      </c>
      <c r="I326" s="305"/>
      <c r="J326" s="305"/>
      <c r="K326" s="313">
        <v>15</v>
      </c>
      <c r="L326" s="305"/>
      <c r="M326" s="305"/>
      <c r="N326" s="313">
        <v>18</v>
      </c>
      <c r="O326" s="305"/>
      <c r="P326" s="305"/>
      <c r="Q326" s="311">
        <v>4.5</v>
      </c>
      <c r="R326" s="305"/>
      <c r="S326" s="315">
        <v>61.5</v>
      </c>
      <c r="T326" s="4"/>
      <c r="U326" s="4"/>
      <c r="V326" s="140" t="str">
        <f t="shared" si="6"/>
        <v>Sí</v>
      </c>
      <c r="W326" s="141">
        <f t="shared" si="7"/>
        <v>5</v>
      </c>
    </row>
    <row r="327" spans="1:16384" ht="13" x14ac:dyDescent="0.3">
      <c r="B327" s="304">
        <v>3</v>
      </c>
      <c r="C327" s="305" t="s">
        <v>386</v>
      </c>
      <c r="D327" s="313"/>
      <c r="E327" s="313"/>
      <c r="F327" s="308"/>
      <c r="G327" s="305"/>
      <c r="H327" s="313">
        <v>18</v>
      </c>
      <c r="I327" s="305"/>
      <c r="J327" s="305"/>
      <c r="K327" s="313">
        <v>27</v>
      </c>
      <c r="L327" s="305"/>
      <c r="M327" s="305"/>
      <c r="N327" s="313">
        <v>14</v>
      </c>
      <c r="O327" s="305"/>
      <c r="P327" s="313"/>
      <c r="Q327" s="313"/>
      <c r="R327" s="308"/>
      <c r="S327" s="309">
        <v>59</v>
      </c>
      <c r="T327" s="4"/>
      <c r="U327" s="4"/>
      <c r="V327" s="140" t="str">
        <f t="shared" si="6"/>
        <v>Sí</v>
      </c>
      <c r="W327" s="141">
        <f t="shared" si="7"/>
        <v>3</v>
      </c>
    </row>
    <row r="328" spans="1:16384" ht="13" x14ac:dyDescent="0.3">
      <c r="B328" s="304">
        <v>4</v>
      </c>
      <c r="C328" s="305" t="s">
        <v>360</v>
      </c>
      <c r="D328" s="313"/>
      <c r="E328" s="313"/>
      <c r="F328" s="308"/>
      <c r="G328" s="305"/>
      <c r="H328" s="313">
        <v>14</v>
      </c>
      <c r="I328" s="305"/>
      <c r="J328" s="305"/>
      <c r="K328" s="313">
        <v>27</v>
      </c>
      <c r="L328" s="305"/>
      <c r="M328" s="305"/>
      <c r="N328" s="313">
        <v>0</v>
      </c>
      <c r="O328" s="305"/>
      <c r="P328" s="313"/>
      <c r="Q328" s="313"/>
      <c r="R328" s="308"/>
      <c r="S328" s="309">
        <v>41</v>
      </c>
      <c r="T328" s="4"/>
      <c r="U328" s="4"/>
      <c r="V328" s="140" t="str">
        <f t="shared" si="6"/>
        <v>Sí</v>
      </c>
      <c r="W328" s="141">
        <f t="shared" si="7"/>
        <v>3</v>
      </c>
    </row>
    <row r="329" spans="1:16384" s="130" customFormat="1" ht="12.75" customHeight="1" x14ac:dyDescent="0.3">
      <c r="B329" s="304">
        <v>5</v>
      </c>
      <c r="C329" s="305" t="s">
        <v>313</v>
      </c>
      <c r="D329" s="305"/>
      <c r="E329" s="313">
        <v>0</v>
      </c>
      <c r="F329" s="305"/>
      <c r="G329" s="305"/>
      <c r="H329" s="313">
        <v>2</v>
      </c>
      <c r="I329" s="305"/>
      <c r="J329" s="305"/>
      <c r="K329" s="313">
        <v>0</v>
      </c>
      <c r="L329" s="305"/>
      <c r="M329" s="305"/>
      <c r="N329" s="313">
        <v>24</v>
      </c>
      <c r="O329" s="305"/>
      <c r="P329" s="305"/>
      <c r="Q329" s="313">
        <v>7</v>
      </c>
      <c r="R329" s="305"/>
      <c r="S329" s="309">
        <v>33</v>
      </c>
      <c r="T329" s="4"/>
      <c r="U329" s="4"/>
      <c r="V329" s="140" t="str">
        <f t="shared" si="6"/>
        <v>Sí</v>
      </c>
      <c r="W329" s="141">
        <f t="shared" si="7"/>
        <v>5</v>
      </c>
      <c r="Y329" s="261"/>
    </row>
    <row r="330" spans="1:16384" s="130" customFormat="1" ht="12.75" customHeight="1" x14ac:dyDescent="0.3">
      <c r="B330" s="304">
        <v>6</v>
      </c>
      <c r="C330" s="305" t="s">
        <v>258</v>
      </c>
      <c r="D330" s="305"/>
      <c r="E330" s="313">
        <v>0</v>
      </c>
      <c r="F330" s="305"/>
      <c r="G330" s="305"/>
      <c r="H330" s="313">
        <v>24</v>
      </c>
      <c r="I330" s="305"/>
      <c r="J330" s="313"/>
      <c r="K330" s="313"/>
      <c r="L330" s="308"/>
      <c r="M330" s="313"/>
      <c r="N330" s="313"/>
      <c r="O330" s="308"/>
      <c r="P330" s="305"/>
      <c r="Q330" s="311">
        <v>6</v>
      </c>
      <c r="R330" s="305"/>
      <c r="S330" s="309">
        <v>30</v>
      </c>
      <c r="T330" s="4"/>
      <c r="U330" s="4"/>
      <c r="V330" s="140" t="str">
        <f t="shared" si="6"/>
        <v>Sí</v>
      </c>
      <c r="W330" s="141">
        <f t="shared" si="7"/>
        <v>3</v>
      </c>
      <c r="Y330" s="261"/>
    </row>
    <row r="331" spans="1:16384" s="130" customFormat="1" ht="12.75" customHeight="1" x14ac:dyDescent="0.3">
      <c r="B331" s="304">
        <v>7</v>
      </c>
      <c r="C331" s="305" t="s">
        <v>384</v>
      </c>
      <c r="D331" s="305"/>
      <c r="E331" s="313">
        <v>0</v>
      </c>
      <c r="F331" s="305"/>
      <c r="G331" s="305"/>
      <c r="H331" s="313">
        <v>0</v>
      </c>
      <c r="I331" s="305"/>
      <c r="J331" s="305"/>
      <c r="K331" s="313">
        <v>0</v>
      </c>
      <c r="L331" s="305"/>
      <c r="M331" s="305"/>
      <c r="N331" s="313">
        <v>18</v>
      </c>
      <c r="O331" s="305"/>
      <c r="P331" s="305"/>
      <c r="Q331" s="313">
        <v>0</v>
      </c>
      <c r="R331" s="305"/>
      <c r="S331" s="309">
        <v>18</v>
      </c>
      <c r="T331" s="4"/>
      <c r="U331" s="4"/>
      <c r="V331" s="140" t="str">
        <f t="shared" si="6"/>
        <v>Sí</v>
      </c>
      <c r="W331" s="141">
        <f t="shared" si="7"/>
        <v>5</v>
      </c>
      <c r="Y331" s="261"/>
    </row>
    <row r="332" spans="1:16384" s="130" customFormat="1" ht="12.75" customHeight="1" x14ac:dyDescent="0.3">
      <c r="B332" s="304">
        <v>8</v>
      </c>
      <c r="C332" s="305" t="s">
        <v>276</v>
      </c>
      <c r="D332" s="305"/>
      <c r="E332" s="313">
        <v>2</v>
      </c>
      <c r="F332" s="305"/>
      <c r="G332" s="305"/>
      <c r="H332" s="313">
        <v>0</v>
      </c>
      <c r="I332" s="305"/>
      <c r="J332" s="313"/>
      <c r="K332" s="313"/>
      <c r="L332" s="308"/>
      <c r="M332" s="313"/>
      <c r="N332" s="313"/>
      <c r="O332" s="308"/>
      <c r="P332" s="305"/>
      <c r="Q332" s="313">
        <v>7</v>
      </c>
      <c r="R332" s="305"/>
      <c r="S332" s="309">
        <v>9</v>
      </c>
      <c r="T332" s="4"/>
      <c r="U332" s="4"/>
      <c r="V332" s="140" t="str">
        <f t="shared" si="6"/>
        <v>Sí</v>
      </c>
      <c r="W332" s="141">
        <f t="shared" si="7"/>
        <v>3</v>
      </c>
      <c r="Y332" s="261"/>
    </row>
    <row r="333" spans="1:16384" s="130" customFormat="1" ht="12.65" customHeight="1" x14ac:dyDescent="0.3"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Y333" s="261"/>
    </row>
    <row r="334" spans="1:16384" s="130" customFormat="1" ht="12.65" customHeight="1" x14ac:dyDescent="0.3">
      <c r="B334" s="4"/>
      <c r="C334" s="4"/>
      <c r="D334" s="311"/>
      <c r="E334" s="285" t="s">
        <v>435</v>
      </c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Y334" s="261"/>
    </row>
    <row r="335" spans="1:16384" s="130" customFormat="1" ht="12.65" customHeight="1" x14ac:dyDescent="0.3">
      <c r="A335" s="301" t="s">
        <v>470</v>
      </c>
      <c r="B335" s="301" t="s">
        <v>470</v>
      </c>
      <c r="C335" s="301" t="s">
        <v>470</v>
      </c>
      <c r="D335" s="301" t="s">
        <v>470</v>
      </c>
      <c r="E335" s="301" t="s">
        <v>470</v>
      </c>
      <c r="F335" s="301" t="s">
        <v>470</v>
      </c>
      <c r="G335" s="301" t="s">
        <v>470</v>
      </c>
      <c r="H335" s="301" t="s">
        <v>470</v>
      </c>
      <c r="I335" s="301" t="s">
        <v>470</v>
      </c>
      <c r="J335" s="301" t="s">
        <v>470</v>
      </c>
      <c r="K335" s="301" t="s">
        <v>470</v>
      </c>
      <c r="L335" s="301" t="s">
        <v>470</v>
      </c>
      <c r="M335" s="301" t="s">
        <v>470</v>
      </c>
      <c r="N335" s="301" t="s">
        <v>470</v>
      </c>
      <c r="O335" s="301" t="s">
        <v>470</v>
      </c>
      <c r="P335" s="301" t="s">
        <v>470</v>
      </c>
      <c r="Q335" s="301" t="s">
        <v>470</v>
      </c>
      <c r="R335" s="301" t="s">
        <v>470</v>
      </c>
      <c r="S335" s="301" t="s">
        <v>470</v>
      </c>
      <c r="T335" s="301" t="s">
        <v>470</v>
      </c>
      <c r="U335" s="301" t="s">
        <v>470</v>
      </c>
      <c r="V335" s="301" t="s">
        <v>470</v>
      </c>
      <c r="W335" s="301" t="s">
        <v>470</v>
      </c>
      <c r="X335" s="301" t="s">
        <v>470</v>
      </c>
      <c r="Y335" s="301" t="s">
        <v>470</v>
      </c>
      <c r="Z335" s="301" t="s">
        <v>470</v>
      </c>
      <c r="AA335" s="301" t="s">
        <v>470</v>
      </c>
      <c r="AB335" s="301" t="s">
        <v>470</v>
      </c>
      <c r="AC335" s="301" t="s">
        <v>470</v>
      </c>
      <c r="AD335" s="301" t="s">
        <v>470</v>
      </c>
      <c r="AE335" s="301" t="s">
        <v>470</v>
      </c>
      <c r="AF335" s="301" t="s">
        <v>470</v>
      </c>
      <c r="AG335" s="301" t="s">
        <v>470</v>
      </c>
      <c r="AH335" s="301" t="s">
        <v>470</v>
      </c>
      <c r="AI335" s="301" t="s">
        <v>470</v>
      </c>
      <c r="AJ335" s="301" t="s">
        <v>470</v>
      </c>
      <c r="AK335" s="301" t="s">
        <v>470</v>
      </c>
      <c r="AL335" s="301" t="s">
        <v>470</v>
      </c>
      <c r="AM335" s="301" t="s">
        <v>470</v>
      </c>
      <c r="AN335" s="301" t="s">
        <v>470</v>
      </c>
      <c r="AO335" s="301" t="s">
        <v>470</v>
      </c>
      <c r="AP335" s="301" t="s">
        <v>470</v>
      </c>
      <c r="AQ335" s="301" t="s">
        <v>470</v>
      </c>
      <c r="AR335" s="301" t="s">
        <v>470</v>
      </c>
      <c r="AS335" s="301" t="s">
        <v>470</v>
      </c>
      <c r="AT335" s="301" t="s">
        <v>470</v>
      </c>
      <c r="AU335" s="301" t="s">
        <v>470</v>
      </c>
      <c r="AV335" s="301" t="s">
        <v>470</v>
      </c>
      <c r="AW335" s="301" t="s">
        <v>470</v>
      </c>
      <c r="AX335" s="301" t="s">
        <v>470</v>
      </c>
      <c r="AY335" s="301" t="s">
        <v>470</v>
      </c>
      <c r="AZ335" s="301" t="s">
        <v>470</v>
      </c>
      <c r="BA335" s="301" t="s">
        <v>470</v>
      </c>
      <c r="BB335" s="301" t="s">
        <v>470</v>
      </c>
      <c r="BC335" s="301" t="s">
        <v>470</v>
      </c>
      <c r="BD335" s="301" t="s">
        <v>470</v>
      </c>
      <c r="BE335" s="301" t="s">
        <v>470</v>
      </c>
      <c r="BF335" s="301" t="s">
        <v>470</v>
      </c>
      <c r="BG335" s="301" t="s">
        <v>470</v>
      </c>
      <c r="BH335" s="301" t="s">
        <v>470</v>
      </c>
      <c r="BI335" s="301" t="s">
        <v>470</v>
      </c>
      <c r="BJ335" s="301" t="s">
        <v>470</v>
      </c>
      <c r="BK335" s="301" t="s">
        <v>470</v>
      </c>
      <c r="BL335" s="301" t="s">
        <v>470</v>
      </c>
      <c r="BM335" s="301" t="s">
        <v>470</v>
      </c>
      <c r="BN335" s="301" t="s">
        <v>470</v>
      </c>
      <c r="BO335" s="301" t="s">
        <v>470</v>
      </c>
      <c r="BP335" s="301" t="s">
        <v>470</v>
      </c>
      <c r="BQ335" s="301" t="s">
        <v>470</v>
      </c>
      <c r="BR335" s="301" t="s">
        <v>470</v>
      </c>
      <c r="BS335" s="301" t="s">
        <v>470</v>
      </c>
      <c r="BT335" s="301" t="s">
        <v>470</v>
      </c>
      <c r="BU335" s="301" t="s">
        <v>470</v>
      </c>
      <c r="BV335" s="301" t="s">
        <v>470</v>
      </c>
      <c r="BW335" s="301" t="s">
        <v>470</v>
      </c>
      <c r="BX335" s="301" t="s">
        <v>470</v>
      </c>
      <c r="BY335" s="301" t="s">
        <v>470</v>
      </c>
      <c r="BZ335" s="301" t="s">
        <v>470</v>
      </c>
      <c r="CA335" s="301" t="s">
        <v>470</v>
      </c>
      <c r="CB335" s="301" t="s">
        <v>470</v>
      </c>
      <c r="CC335" s="301" t="s">
        <v>470</v>
      </c>
      <c r="CD335" s="301" t="s">
        <v>470</v>
      </c>
      <c r="CE335" s="301" t="s">
        <v>470</v>
      </c>
      <c r="CF335" s="301" t="s">
        <v>470</v>
      </c>
      <c r="CG335" s="301" t="s">
        <v>470</v>
      </c>
      <c r="CH335" s="301" t="s">
        <v>470</v>
      </c>
      <c r="CI335" s="301" t="s">
        <v>470</v>
      </c>
      <c r="CJ335" s="301" t="s">
        <v>470</v>
      </c>
      <c r="CK335" s="301" t="s">
        <v>470</v>
      </c>
      <c r="CL335" s="301" t="s">
        <v>470</v>
      </c>
      <c r="CM335" s="301" t="s">
        <v>470</v>
      </c>
      <c r="CN335" s="301" t="s">
        <v>470</v>
      </c>
      <c r="CO335" s="301" t="s">
        <v>470</v>
      </c>
      <c r="CP335" s="301" t="s">
        <v>470</v>
      </c>
      <c r="CQ335" s="301" t="s">
        <v>470</v>
      </c>
      <c r="CR335" s="301" t="s">
        <v>470</v>
      </c>
      <c r="CS335" s="301" t="s">
        <v>470</v>
      </c>
      <c r="CT335" s="301" t="s">
        <v>470</v>
      </c>
      <c r="CU335" s="301" t="s">
        <v>470</v>
      </c>
      <c r="CV335" s="301" t="s">
        <v>470</v>
      </c>
      <c r="CW335" s="301" t="s">
        <v>470</v>
      </c>
      <c r="CX335" s="301" t="s">
        <v>470</v>
      </c>
      <c r="CY335" s="301" t="s">
        <v>470</v>
      </c>
      <c r="CZ335" s="301" t="s">
        <v>470</v>
      </c>
      <c r="DA335" s="301" t="s">
        <v>470</v>
      </c>
      <c r="DB335" s="301" t="s">
        <v>470</v>
      </c>
      <c r="DC335" s="301" t="s">
        <v>470</v>
      </c>
      <c r="DD335" s="301" t="s">
        <v>470</v>
      </c>
      <c r="DE335" s="301" t="s">
        <v>470</v>
      </c>
      <c r="DF335" s="301" t="s">
        <v>470</v>
      </c>
      <c r="DG335" s="301" t="s">
        <v>470</v>
      </c>
      <c r="DH335" s="301" t="s">
        <v>470</v>
      </c>
      <c r="DI335" s="301" t="s">
        <v>470</v>
      </c>
      <c r="DJ335" s="301" t="s">
        <v>470</v>
      </c>
      <c r="DK335" s="301" t="s">
        <v>470</v>
      </c>
      <c r="DL335" s="301" t="s">
        <v>470</v>
      </c>
      <c r="DM335" s="301" t="s">
        <v>470</v>
      </c>
      <c r="DN335" s="301" t="s">
        <v>470</v>
      </c>
      <c r="DO335" s="301" t="s">
        <v>470</v>
      </c>
      <c r="DP335" s="301" t="s">
        <v>470</v>
      </c>
      <c r="DQ335" s="301" t="s">
        <v>470</v>
      </c>
      <c r="DR335" s="301" t="s">
        <v>470</v>
      </c>
      <c r="DS335" s="301" t="s">
        <v>470</v>
      </c>
      <c r="DT335" s="301" t="s">
        <v>470</v>
      </c>
      <c r="DU335" s="301" t="s">
        <v>470</v>
      </c>
      <c r="DV335" s="301" t="s">
        <v>470</v>
      </c>
      <c r="DW335" s="301" t="s">
        <v>470</v>
      </c>
      <c r="DX335" s="301" t="s">
        <v>470</v>
      </c>
      <c r="DY335" s="301" t="s">
        <v>470</v>
      </c>
      <c r="DZ335" s="301" t="s">
        <v>470</v>
      </c>
      <c r="EA335" s="301" t="s">
        <v>470</v>
      </c>
      <c r="EB335" s="301" t="s">
        <v>470</v>
      </c>
      <c r="EC335" s="301" t="s">
        <v>470</v>
      </c>
      <c r="ED335" s="301" t="s">
        <v>470</v>
      </c>
      <c r="EE335" s="301" t="s">
        <v>470</v>
      </c>
      <c r="EF335" s="301" t="s">
        <v>470</v>
      </c>
      <c r="EG335" s="301" t="s">
        <v>470</v>
      </c>
      <c r="EH335" s="301" t="s">
        <v>470</v>
      </c>
      <c r="EI335" s="301" t="s">
        <v>470</v>
      </c>
      <c r="EJ335" s="301" t="s">
        <v>470</v>
      </c>
      <c r="EK335" s="301" t="s">
        <v>470</v>
      </c>
      <c r="EL335" s="301" t="s">
        <v>470</v>
      </c>
      <c r="EM335" s="301" t="s">
        <v>470</v>
      </c>
      <c r="EN335" s="301" t="s">
        <v>470</v>
      </c>
      <c r="EO335" s="301" t="s">
        <v>470</v>
      </c>
      <c r="EP335" s="301" t="s">
        <v>470</v>
      </c>
      <c r="EQ335" s="301" t="s">
        <v>470</v>
      </c>
      <c r="ER335" s="301" t="s">
        <v>470</v>
      </c>
      <c r="ES335" s="301" t="s">
        <v>470</v>
      </c>
      <c r="ET335" s="301" t="s">
        <v>470</v>
      </c>
      <c r="EU335" s="301" t="s">
        <v>470</v>
      </c>
      <c r="EV335" s="301" t="s">
        <v>470</v>
      </c>
      <c r="EW335" s="301" t="s">
        <v>470</v>
      </c>
      <c r="EX335" s="301" t="s">
        <v>470</v>
      </c>
      <c r="EY335" s="301" t="s">
        <v>470</v>
      </c>
      <c r="EZ335" s="301" t="s">
        <v>470</v>
      </c>
      <c r="FA335" s="301" t="s">
        <v>470</v>
      </c>
      <c r="FB335" s="301" t="s">
        <v>470</v>
      </c>
      <c r="FC335" s="301" t="s">
        <v>470</v>
      </c>
      <c r="FD335" s="301" t="s">
        <v>470</v>
      </c>
      <c r="FE335" s="301" t="s">
        <v>470</v>
      </c>
      <c r="FF335" s="301" t="s">
        <v>470</v>
      </c>
      <c r="FG335" s="301" t="s">
        <v>470</v>
      </c>
      <c r="FH335" s="301" t="s">
        <v>470</v>
      </c>
      <c r="FI335" s="301" t="s">
        <v>470</v>
      </c>
      <c r="FJ335" s="301" t="s">
        <v>470</v>
      </c>
      <c r="FK335" s="301" t="s">
        <v>470</v>
      </c>
      <c r="FL335" s="301" t="s">
        <v>470</v>
      </c>
      <c r="FM335" s="301" t="s">
        <v>470</v>
      </c>
      <c r="FN335" s="301" t="s">
        <v>470</v>
      </c>
      <c r="FO335" s="301" t="s">
        <v>470</v>
      </c>
      <c r="FP335" s="301" t="s">
        <v>470</v>
      </c>
      <c r="FQ335" s="301" t="s">
        <v>470</v>
      </c>
      <c r="FR335" s="301" t="s">
        <v>470</v>
      </c>
      <c r="FS335" s="301" t="s">
        <v>470</v>
      </c>
      <c r="FT335" s="301" t="s">
        <v>470</v>
      </c>
      <c r="FU335" s="301" t="s">
        <v>470</v>
      </c>
      <c r="FV335" s="301" t="s">
        <v>470</v>
      </c>
      <c r="FW335" s="301" t="s">
        <v>470</v>
      </c>
      <c r="FX335" s="301" t="s">
        <v>470</v>
      </c>
      <c r="FY335" s="301" t="s">
        <v>470</v>
      </c>
      <c r="FZ335" s="301" t="s">
        <v>470</v>
      </c>
      <c r="GA335" s="301" t="s">
        <v>470</v>
      </c>
      <c r="GB335" s="301" t="s">
        <v>470</v>
      </c>
      <c r="GC335" s="301" t="s">
        <v>470</v>
      </c>
      <c r="GD335" s="301" t="s">
        <v>470</v>
      </c>
      <c r="GE335" s="301" t="s">
        <v>470</v>
      </c>
      <c r="GF335" s="301" t="s">
        <v>470</v>
      </c>
      <c r="GG335" s="301" t="s">
        <v>470</v>
      </c>
      <c r="GH335" s="301" t="s">
        <v>470</v>
      </c>
      <c r="GI335" s="301" t="s">
        <v>470</v>
      </c>
      <c r="GJ335" s="301" t="s">
        <v>470</v>
      </c>
      <c r="GK335" s="301" t="s">
        <v>470</v>
      </c>
      <c r="GL335" s="301" t="s">
        <v>470</v>
      </c>
      <c r="GM335" s="301" t="s">
        <v>470</v>
      </c>
      <c r="GN335" s="301" t="s">
        <v>470</v>
      </c>
      <c r="GO335" s="301" t="s">
        <v>470</v>
      </c>
      <c r="GP335" s="301" t="s">
        <v>470</v>
      </c>
      <c r="GQ335" s="301" t="s">
        <v>470</v>
      </c>
      <c r="GR335" s="301" t="s">
        <v>470</v>
      </c>
      <c r="GS335" s="301" t="s">
        <v>470</v>
      </c>
      <c r="GT335" s="301" t="s">
        <v>470</v>
      </c>
      <c r="GU335" s="301" t="s">
        <v>470</v>
      </c>
      <c r="GV335" s="301" t="s">
        <v>470</v>
      </c>
      <c r="GW335" s="301" t="s">
        <v>470</v>
      </c>
      <c r="GX335" s="301" t="s">
        <v>470</v>
      </c>
      <c r="GY335" s="301" t="s">
        <v>470</v>
      </c>
      <c r="GZ335" s="301" t="s">
        <v>470</v>
      </c>
      <c r="HA335" s="301" t="s">
        <v>470</v>
      </c>
      <c r="HB335" s="301" t="s">
        <v>470</v>
      </c>
      <c r="HC335" s="301" t="s">
        <v>470</v>
      </c>
      <c r="HD335" s="301" t="s">
        <v>470</v>
      </c>
      <c r="HE335" s="301" t="s">
        <v>470</v>
      </c>
      <c r="HF335" s="301" t="s">
        <v>470</v>
      </c>
      <c r="HG335" s="301" t="s">
        <v>470</v>
      </c>
      <c r="HH335" s="301" t="s">
        <v>470</v>
      </c>
      <c r="HI335" s="301" t="s">
        <v>470</v>
      </c>
      <c r="HJ335" s="301" t="s">
        <v>470</v>
      </c>
      <c r="HK335" s="301" t="s">
        <v>470</v>
      </c>
      <c r="HL335" s="301" t="s">
        <v>470</v>
      </c>
      <c r="HM335" s="301" t="s">
        <v>470</v>
      </c>
      <c r="HN335" s="301" t="s">
        <v>470</v>
      </c>
      <c r="HO335" s="301" t="s">
        <v>470</v>
      </c>
      <c r="HP335" s="301" t="s">
        <v>470</v>
      </c>
      <c r="HQ335" s="301" t="s">
        <v>470</v>
      </c>
      <c r="HR335" s="301" t="s">
        <v>470</v>
      </c>
      <c r="HS335" s="301" t="s">
        <v>470</v>
      </c>
      <c r="HT335" s="301" t="s">
        <v>470</v>
      </c>
      <c r="HU335" s="301" t="s">
        <v>470</v>
      </c>
      <c r="HV335" s="301" t="s">
        <v>470</v>
      </c>
      <c r="HW335" s="301" t="s">
        <v>470</v>
      </c>
      <c r="HX335" s="301" t="s">
        <v>470</v>
      </c>
      <c r="HY335" s="301" t="s">
        <v>470</v>
      </c>
      <c r="HZ335" s="301" t="s">
        <v>470</v>
      </c>
      <c r="IA335" s="301" t="s">
        <v>470</v>
      </c>
      <c r="IB335" s="301" t="s">
        <v>470</v>
      </c>
      <c r="IC335" s="301" t="s">
        <v>470</v>
      </c>
      <c r="ID335" s="301" t="s">
        <v>470</v>
      </c>
      <c r="IE335" s="301" t="s">
        <v>470</v>
      </c>
      <c r="IF335" s="301" t="s">
        <v>470</v>
      </c>
      <c r="IG335" s="301" t="s">
        <v>470</v>
      </c>
      <c r="IH335" s="301" t="s">
        <v>470</v>
      </c>
      <c r="II335" s="301" t="s">
        <v>470</v>
      </c>
      <c r="IJ335" s="301" t="s">
        <v>470</v>
      </c>
      <c r="IK335" s="301" t="s">
        <v>470</v>
      </c>
      <c r="IL335" s="301" t="s">
        <v>470</v>
      </c>
      <c r="IM335" s="301" t="s">
        <v>470</v>
      </c>
      <c r="IN335" s="301" t="s">
        <v>470</v>
      </c>
      <c r="IO335" s="301" t="s">
        <v>470</v>
      </c>
      <c r="IP335" s="301" t="s">
        <v>470</v>
      </c>
      <c r="IQ335" s="301" t="s">
        <v>470</v>
      </c>
      <c r="IR335" s="301" t="s">
        <v>470</v>
      </c>
      <c r="IS335" s="301" t="s">
        <v>470</v>
      </c>
      <c r="IT335" s="301" t="s">
        <v>470</v>
      </c>
      <c r="IU335" s="301" t="s">
        <v>470</v>
      </c>
      <c r="IV335" s="301" t="s">
        <v>470</v>
      </c>
      <c r="IW335" s="301" t="s">
        <v>470</v>
      </c>
      <c r="IX335" s="301" t="s">
        <v>470</v>
      </c>
      <c r="IY335" s="301" t="s">
        <v>470</v>
      </c>
      <c r="IZ335" s="301" t="s">
        <v>470</v>
      </c>
      <c r="JA335" s="301" t="s">
        <v>470</v>
      </c>
      <c r="JB335" s="301" t="s">
        <v>470</v>
      </c>
      <c r="JC335" s="301" t="s">
        <v>470</v>
      </c>
      <c r="JD335" s="301" t="s">
        <v>470</v>
      </c>
      <c r="JE335" s="301" t="s">
        <v>470</v>
      </c>
      <c r="JF335" s="301" t="s">
        <v>470</v>
      </c>
      <c r="JG335" s="301" t="s">
        <v>470</v>
      </c>
      <c r="JH335" s="301" t="s">
        <v>470</v>
      </c>
      <c r="JI335" s="301" t="s">
        <v>470</v>
      </c>
      <c r="JJ335" s="301" t="s">
        <v>470</v>
      </c>
      <c r="JK335" s="301" t="s">
        <v>470</v>
      </c>
      <c r="JL335" s="301" t="s">
        <v>470</v>
      </c>
      <c r="JM335" s="301" t="s">
        <v>470</v>
      </c>
      <c r="JN335" s="301" t="s">
        <v>470</v>
      </c>
      <c r="JO335" s="301" t="s">
        <v>470</v>
      </c>
      <c r="JP335" s="301" t="s">
        <v>470</v>
      </c>
      <c r="JQ335" s="301" t="s">
        <v>470</v>
      </c>
      <c r="JR335" s="301" t="s">
        <v>470</v>
      </c>
      <c r="JS335" s="301" t="s">
        <v>470</v>
      </c>
      <c r="JT335" s="301" t="s">
        <v>470</v>
      </c>
      <c r="JU335" s="301" t="s">
        <v>470</v>
      </c>
      <c r="JV335" s="301" t="s">
        <v>470</v>
      </c>
      <c r="JW335" s="301" t="s">
        <v>470</v>
      </c>
      <c r="JX335" s="301" t="s">
        <v>470</v>
      </c>
      <c r="JY335" s="301" t="s">
        <v>470</v>
      </c>
      <c r="JZ335" s="301" t="s">
        <v>470</v>
      </c>
      <c r="KA335" s="301" t="s">
        <v>470</v>
      </c>
      <c r="KB335" s="301" t="s">
        <v>470</v>
      </c>
      <c r="KC335" s="301" t="s">
        <v>470</v>
      </c>
      <c r="KD335" s="301" t="s">
        <v>470</v>
      </c>
      <c r="KE335" s="301" t="s">
        <v>470</v>
      </c>
      <c r="KF335" s="301" t="s">
        <v>470</v>
      </c>
      <c r="KG335" s="301" t="s">
        <v>470</v>
      </c>
      <c r="KH335" s="301" t="s">
        <v>470</v>
      </c>
      <c r="KI335" s="301" t="s">
        <v>470</v>
      </c>
      <c r="KJ335" s="301" t="s">
        <v>470</v>
      </c>
      <c r="KK335" s="301" t="s">
        <v>470</v>
      </c>
      <c r="KL335" s="301" t="s">
        <v>470</v>
      </c>
      <c r="KM335" s="301" t="s">
        <v>470</v>
      </c>
      <c r="KN335" s="301" t="s">
        <v>470</v>
      </c>
      <c r="KO335" s="301" t="s">
        <v>470</v>
      </c>
      <c r="KP335" s="301" t="s">
        <v>470</v>
      </c>
      <c r="KQ335" s="301" t="s">
        <v>470</v>
      </c>
      <c r="KR335" s="301" t="s">
        <v>470</v>
      </c>
      <c r="KS335" s="301" t="s">
        <v>470</v>
      </c>
      <c r="KT335" s="301" t="s">
        <v>470</v>
      </c>
      <c r="KU335" s="301" t="s">
        <v>470</v>
      </c>
      <c r="KV335" s="301" t="s">
        <v>470</v>
      </c>
      <c r="KW335" s="301" t="s">
        <v>470</v>
      </c>
      <c r="KX335" s="301" t="s">
        <v>470</v>
      </c>
      <c r="KY335" s="301" t="s">
        <v>470</v>
      </c>
      <c r="KZ335" s="301" t="s">
        <v>470</v>
      </c>
      <c r="LA335" s="301" t="s">
        <v>470</v>
      </c>
      <c r="LB335" s="301" t="s">
        <v>470</v>
      </c>
      <c r="LC335" s="301" t="s">
        <v>470</v>
      </c>
      <c r="LD335" s="301" t="s">
        <v>470</v>
      </c>
      <c r="LE335" s="301" t="s">
        <v>470</v>
      </c>
      <c r="LF335" s="301" t="s">
        <v>470</v>
      </c>
      <c r="LG335" s="301" t="s">
        <v>470</v>
      </c>
      <c r="LH335" s="301" t="s">
        <v>470</v>
      </c>
      <c r="LI335" s="301" t="s">
        <v>470</v>
      </c>
      <c r="LJ335" s="301" t="s">
        <v>470</v>
      </c>
      <c r="LK335" s="301" t="s">
        <v>470</v>
      </c>
      <c r="LL335" s="301" t="s">
        <v>470</v>
      </c>
      <c r="LM335" s="301" t="s">
        <v>470</v>
      </c>
      <c r="LN335" s="301" t="s">
        <v>470</v>
      </c>
      <c r="LO335" s="301" t="s">
        <v>470</v>
      </c>
      <c r="LP335" s="301" t="s">
        <v>470</v>
      </c>
      <c r="LQ335" s="301" t="s">
        <v>470</v>
      </c>
      <c r="LR335" s="301" t="s">
        <v>470</v>
      </c>
      <c r="LS335" s="301" t="s">
        <v>470</v>
      </c>
      <c r="LT335" s="301" t="s">
        <v>470</v>
      </c>
      <c r="LU335" s="301" t="s">
        <v>470</v>
      </c>
      <c r="LV335" s="301" t="s">
        <v>470</v>
      </c>
      <c r="LW335" s="301" t="s">
        <v>470</v>
      </c>
      <c r="LX335" s="301" t="s">
        <v>470</v>
      </c>
      <c r="LY335" s="301" t="s">
        <v>470</v>
      </c>
      <c r="LZ335" s="301" t="s">
        <v>470</v>
      </c>
      <c r="MA335" s="301" t="s">
        <v>470</v>
      </c>
      <c r="MB335" s="301" t="s">
        <v>470</v>
      </c>
      <c r="MC335" s="301" t="s">
        <v>470</v>
      </c>
      <c r="MD335" s="301" t="s">
        <v>470</v>
      </c>
      <c r="ME335" s="301" t="s">
        <v>470</v>
      </c>
      <c r="MF335" s="301" t="s">
        <v>470</v>
      </c>
      <c r="MG335" s="301" t="s">
        <v>470</v>
      </c>
      <c r="MH335" s="301" t="s">
        <v>470</v>
      </c>
      <c r="MI335" s="301" t="s">
        <v>470</v>
      </c>
      <c r="MJ335" s="301" t="s">
        <v>470</v>
      </c>
      <c r="MK335" s="301" t="s">
        <v>470</v>
      </c>
      <c r="ML335" s="301" t="s">
        <v>470</v>
      </c>
      <c r="MM335" s="301" t="s">
        <v>470</v>
      </c>
      <c r="MN335" s="301" t="s">
        <v>470</v>
      </c>
      <c r="MO335" s="301" t="s">
        <v>470</v>
      </c>
      <c r="MP335" s="301" t="s">
        <v>470</v>
      </c>
      <c r="MQ335" s="301" t="s">
        <v>470</v>
      </c>
      <c r="MR335" s="301" t="s">
        <v>470</v>
      </c>
      <c r="MS335" s="301" t="s">
        <v>470</v>
      </c>
      <c r="MT335" s="301" t="s">
        <v>470</v>
      </c>
      <c r="MU335" s="301" t="s">
        <v>470</v>
      </c>
      <c r="MV335" s="301" t="s">
        <v>470</v>
      </c>
      <c r="MW335" s="301" t="s">
        <v>470</v>
      </c>
      <c r="MX335" s="301" t="s">
        <v>470</v>
      </c>
      <c r="MY335" s="301" t="s">
        <v>470</v>
      </c>
      <c r="MZ335" s="301" t="s">
        <v>470</v>
      </c>
      <c r="NA335" s="301" t="s">
        <v>470</v>
      </c>
      <c r="NB335" s="301" t="s">
        <v>470</v>
      </c>
      <c r="NC335" s="301" t="s">
        <v>470</v>
      </c>
      <c r="ND335" s="301" t="s">
        <v>470</v>
      </c>
      <c r="NE335" s="301" t="s">
        <v>470</v>
      </c>
      <c r="NF335" s="301" t="s">
        <v>470</v>
      </c>
      <c r="NG335" s="301" t="s">
        <v>470</v>
      </c>
      <c r="NH335" s="301" t="s">
        <v>470</v>
      </c>
      <c r="NI335" s="301" t="s">
        <v>470</v>
      </c>
      <c r="NJ335" s="301" t="s">
        <v>470</v>
      </c>
      <c r="NK335" s="301" t="s">
        <v>470</v>
      </c>
      <c r="NL335" s="301" t="s">
        <v>470</v>
      </c>
      <c r="NM335" s="301" t="s">
        <v>470</v>
      </c>
      <c r="NN335" s="301" t="s">
        <v>470</v>
      </c>
      <c r="NO335" s="301" t="s">
        <v>470</v>
      </c>
      <c r="NP335" s="301" t="s">
        <v>470</v>
      </c>
      <c r="NQ335" s="301" t="s">
        <v>470</v>
      </c>
      <c r="NR335" s="301" t="s">
        <v>470</v>
      </c>
      <c r="NS335" s="301" t="s">
        <v>470</v>
      </c>
      <c r="NT335" s="301" t="s">
        <v>470</v>
      </c>
      <c r="NU335" s="301" t="s">
        <v>470</v>
      </c>
      <c r="NV335" s="301" t="s">
        <v>470</v>
      </c>
      <c r="NW335" s="301" t="s">
        <v>470</v>
      </c>
      <c r="NX335" s="301" t="s">
        <v>470</v>
      </c>
      <c r="NY335" s="301" t="s">
        <v>470</v>
      </c>
      <c r="NZ335" s="301" t="s">
        <v>470</v>
      </c>
      <c r="OA335" s="301" t="s">
        <v>470</v>
      </c>
      <c r="OB335" s="301" t="s">
        <v>470</v>
      </c>
      <c r="OC335" s="301" t="s">
        <v>470</v>
      </c>
      <c r="OD335" s="301" t="s">
        <v>470</v>
      </c>
      <c r="OE335" s="301" t="s">
        <v>470</v>
      </c>
      <c r="OF335" s="301" t="s">
        <v>470</v>
      </c>
      <c r="OG335" s="301" t="s">
        <v>470</v>
      </c>
      <c r="OH335" s="301" t="s">
        <v>470</v>
      </c>
      <c r="OI335" s="301" t="s">
        <v>470</v>
      </c>
      <c r="OJ335" s="301" t="s">
        <v>470</v>
      </c>
      <c r="OK335" s="301" t="s">
        <v>470</v>
      </c>
      <c r="OL335" s="301" t="s">
        <v>470</v>
      </c>
      <c r="OM335" s="301" t="s">
        <v>470</v>
      </c>
      <c r="ON335" s="301" t="s">
        <v>470</v>
      </c>
      <c r="OO335" s="301" t="s">
        <v>470</v>
      </c>
      <c r="OP335" s="301" t="s">
        <v>470</v>
      </c>
      <c r="OQ335" s="301" t="s">
        <v>470</v>
      </c>
      <c r="OR335" s="301" t="s">
        <v>470</v>
      </c>
      <c r="OS335" s="301" t="s">
        <v>470</v>
      </c>
      <c r="OT335" s="301" t="s">
        <v>470</v>
      </c>
      <c r="OU335" s="301" t="s">
        <v>470</v>
      </c>
      <c r="OV335" s="301" t="s">
        <v>470</v>
      </c>
      <c r="OW335" s="301" t="s">
        <v>470</v>
      </c>
      <c r="OX335" s="301" t="s">
        <v>470</v>
      </c>
      <c r="OY335" s="301" t="s">
        <v>470</v>
      </c>
      <c r="OZ335" s="301" t="s">
        <v>470</v>
      </c>
      <c r="PA335" s="301" t="s">
        <v>470</v>
      </c>
      <c r="PB335" s="301" t="s">
        <v>470</v>
      </c>
      <c r="PC335" s="301" t="s">
        <v>470</v>
      </c>
      <c r="PD335" s="301" t="s">
        <v>470</v>
      </c>
      <c r="PE335" s="301" t="s">
        <v>470</v>
      </c>
      <c r="PF335" s="301" t="s">
        <v>470</v>
      </c>
      <c r="PG335" s="301" t="s">
        <v>470</v>
      </c>
      <c r="PH335" s="301" t="s">
        <v>470</v>
      </c>
      <c r="PI335" s="301" t="s">
        <v>470</v>
      </c>
      <c r="PJ335" s="301" t="s">
        <v>470</v>
      </c>
      <c r="PK335" s="301" t="s">
        <v>470</v>
      </c>
      <c r="PL335" s="301" t="s">
        <v>470</v>
      </c>
      <c r="PM335" s="301" t="s">
        <v>470</v>
      </c>
      <c r="PN335" s="301" t="s">
        <v>470</v>
      </c>
      <c r="PO335" s="301" t="s">
        <v>470</v>
      </c>
      <c r="PP335" s="301" t="s">
        <v>470</v>
      </c>
      <c r="PQ335" s="301" t="s">
        <v>470</v>
      </c>
      <c r="PR335" s="301" t="s">
        <v>470</v>
      </c>
      <c r="PS335" s="301" t="s">
        <v>470</v>
      </c>
      <c r="PT335" s="301" t="s">
        <v>470</v>
      </c>
      <c r="PU335" s="301" t="s">
        <v>470</v>
      </c>
      <c r="PV335" s="301" t="s">
        <v>470</v>
      </c>
      <c r="PW335" s="301" t="s">
        <v>470</v>
      </c>
      <c r="PX335" s="301" t="s">
        <v>470</v>
      </c>
      <c r="PY335" s="301" t="s">
        <v>470</v>
      </c>
      <c r="PZ335" s="301" t="s">
        <v>470</v>
      </c>
      <c r="QA335" s="301" t="s">
        <v>470</v>
      </c>
      <c r="QB335" s="301" t="s">
        <v>470</v>
      </c>
      <c r="QC335" s="301" t="s">
        <v>470</v>
      </c>
      <c r="QD335" s="301" t="s">
        <v>470</v>
      </c>
      <c r="QE335" s="301" t="s">
        <v>470</v>
      </c>
      <c r="QF335" s="301" t="s">
        <v>470</v>
      </c>
      <c r="QG335" s="301" t="s">
        <v>470</v>
      </c>
      <c r="QH335" s="301" t="s">
        <v>470</v>
      </c>
      <c r="QI335" s="301" t="s">
        <v>470</v>
      </c>
      <c r="QJ335" s="301" t="s">
        <v>470</v>
      </c>
      <c r="QK335" s="301" t="s">
        <v>470</v>
      </c>
      <c r="QL335" s="301" t="s">
        <v>470</v>
      </c>
      <c r="QM335" s="301" t="s">
        <v>470</v>
      </c>
      <c r="QN335" s="301" t="s">
        <v>470</v>
      </c>
      <c r="QO335" s="301" t="s">
        <v>470</v>
      </c>
      <c r="QP335" s="301" t="s">
        <v>470</v>
      </c>
      <c r="QQ335" s="301" t="s">
        <v>470</v>
      </c>
      <c r="QR335" s="301" t="s">
        <v>470</v>
      </c>
      <c r="QS335" s="301" t="s">
        <v>470</v>
      </c>
      <c r="QT335" s="301" t="s">
        <v>470</v>
      </c>
      <c r="QU335" s="301" t="s">
        <v>470</v>
      </c>
      <c r="QV335" s="301" t="s">
        <v>470</v>
      </c>
      <c r="QW335" s="301" t="s">
        <v>470</v>
      </c>
      <c r="QX335" s="301" t="s">
        <v>470</v>
      </c>
      <c r="QY335" s="301" t="s">
        <v>470</v>
      </c>
      <c r="QZ335" s="301" t="s">
        <v>470</v>
      </c>
      <c r="RA335" s="301" t="s">
        <v>470</v>
      </c>
      <c r="RB335" s="301" t="s">
        <v>470</v>
      </c>
      <c r="RC335" s="301" t="s">
        <v>470</v>
      </c>
      <c r="RD335" s="301" t="s">
        <v>470</v>
      </c>
      <c r="RE335" s="301" t="s">
        <v>470</v>
      </c>
      <c r="RF335" s="301" t="s">
        <v>470</v>
      </c>
      <c r="RG335" s="301" t="s">
        <v>470</v>
      </c>
      <c r="RH335" s="301" t="s">
        <v>470</v>
      </c>
      <c r="RI335" s="301" t="s">
        <v>470</v>
      </c>
      <c r="RJ335" s="301" t="s">
        <v>470</v>
      </c>
      <c r="RK335" s="301" t="s">
        <v>470</v>
      </c>
      <c r="RL335" s="301" t="s">
        <v>470</v>
      </c>
      <c r="RM335" s="301" t="s">
        <v>470</v>
      </c>
      <c r="RN335" s="301" t="s">
        <v>470</v>
      </c>
      <c r="RO335" s="301" t="s">
        <v>470</v>
      </c>
      <c r="RP335" s="301" t="s">
        <v>470</v>
      </c>
      <c r="RQ335" s="301" t="s">
        <v>470</v>
      </c>
      <c r="RR335" s="301" t="s">
        <v>470</v>
      </c>
      <c r="RS335" s="301" t="s">
        <v>470</v>
      </c>
      <c r="RT335" s="301" t="s">
        <v>470</v>
      </c>
      <c r="RU335" s="301" t="s">
        <v>470</v>
      </c>
      <c r="RV335" s="301" t="s">
        <v>470</v>
      </c>
      <c r="RW335" s="301" t="s">
        <v>470</v>
      </c>
      <c r="RX335" s="301" t="s">
        <v>470</v>
      </c>
      <c r="RY335" s="301" t="s">
        <v>470</v>
      </c>
      <c r="RZ335" s="301" t="s">
        <v>470</v>
      </c>
      <c r="SA335" s="301" t="s">
        <v>470</v>
      </c>
      <c r="SB335" s="301" t="s">
        <v>470</v>
      </c>
      <c r="SC335" s="301" t="s">
        <v>470</v>
      </c>
      <c r="SD335" s="301" t="s">
        <v>470</v>
      </c>
      <c r="SE335" s="301" t="s">
        <v>470</v>
      </c>
      <c r="SF335" s="301" t="s">
        <v>470</v>
      </c>
      <c r="SG335" s="301" t="s">
        <v>470</v>
      </c>
      <c r="SH335" s="301" t="s">
        <v>470</v>
      </c>
      <c r="SI335" s="301" t="s">
        <v>470</v>
      </c>
      <c r="SJ335" s="301" t="s">
        <v>470</v>
      </c>
      <c r="SK335" s="301" t="s">
        <v>470</v>
      </c>
      <c r="SL335" s="301" t="s">
        <v>470</v>
      </c>
      <c r="SM335" s="301" t="s">
        <v>470</v>
      </c>
      <c r="SN335" s="301" t="s">
        <v>470</v>
      </c>
      <c r="SO335" s="301" t="s">
        <v>470</v>
      </c>
      <c r="SP335" s="301" t="s">
        <v>470</v>
      </c>
      <c r="SQ335" s="301" t="s">
        <v>470</v>
      </c>
      <c r="SR335" s="301" t="s">
        <v>470</v>
      </c>
      <c r="SS335" s="301" t="s">
        <v>470</v>
      </c>
      <c r="ST335" s="301" t="s">
        <v>470</v>
      </c>
      <c r="SU335" s="301" t="s">
        <v>470</v>
      </c>
      <c r="SV335" s="301" t="s">
        <v>470</v>
      </c>
      <c r="SW335" s="301" t="s">
        <v>470</v>
      </c>
      <c r="SX335" s="301" t="s">
        <v>470</v>
      </c>
      <c r="SY335" s="301" t="s">
        <v>470</v>
      </c>
      <c r="SZ335" s="301" t="s">
        <v>470</v>
      </c>
      <c r="TA335" s="301" t="s">
        <v>470</v>
      </c>
      <c r="TB335" s="301" t="s">
        <v>470</v>
      </c>
      <c r="TC335" s="301" t="s">
        <v>470</v>
      </c>
      <c r="TD335" s="301" t="s">
        <v>470</v>
      </c>
      <c r="TE335" s="301" t="s">
        <v>470</v>
      </c>
      <c r="TF335" s="301" t="s">
        <v>470</v>
      </c>
      <c r="TG335" s="301" t="s">
        <v>470</v>
      </c>
      <c r="TH335" s="301" t="s">
        <v>470</v>
      </c>
      <c r="TI335" s="301" t="s">
        <v>470</v>
      </c>
      <c r="TJ335" s="301" t="s">
        <v>470</v>
      </c>
      <c r="TK335" s="301" t="s">
        <v>470</v>
      </c>
      <c r="TL335" s="301" t="s">
        <v>470</v>
      </c>
      <c r="TM335" s="301" t="s">
        <v>470</v>
      </c>
      <c r="TN335" s="301" t="s">
        <v>470</v>
      </c>
      <c r="TO335" s="301" t="s">
        <v>470</v>
      </c>
      <c r="TP335" s="301" t="s">
        <v>470</v>
      </c>
      <c r="TQ335" s="301" t="s">
        <v>470</v>
      </c>
      <c r="TR335" s="301" t="s">
        <v>470</v>
      </c>
      <c r="TS335" s="301" t="s">
        <v>470</v>
      </c>
      <c r="TT335" s="301" t="s">
        <v>470</v>
      </c>
      <c r="TU335" s="301" t="s">
        <v>470</v>
      </c>
      <c r="TV335" s="301" t="s">
        <v>470</v>
      </c>
      <c r="TW335" s="301" t="s">
        <v>470</v>
      </c>
      <c r="TX335" s="301" t="s">
        <v>470</v>
      </c>
      <c r="TY335" s="301" t="s">
        <v>470</v>
      </c>
      <c r="TZ335" s="301" t="s">
        <v>470</v>
      </c>
      <c r="UA335" s="301" t="s">
        <v>470</v>
      </c>
      <c r="UB335" s="301" t="s">
        <v>470</v>
      </c>
      <c r="UC335" s="301" t="s">
        <v>470</v>
      </c>
      <c r="UD335" s="301" t="s">
        <v>470</v>
      </c>
      <c r="UE335" s="301" t="s">
        <v>470</v>
      </c>
      <c r="UF335" s="301" t="s">
        <v>470</v>
      </c>
      <c r="UG335" s="301" t="s">
        <v>470</v>
      </c>
      <c r="UH335" s="301" t="s">
        <v>470</v>
      </c>
      <c r="UI335" s="301" t="s">
        <v>470</v>
      </c>
      <c r="UJ335" s="301" t="s">
        <v>470</v>
      </c>
      <c r="UK335" s="301" t="s">
        <v>470</v>
      </c>
      <c r="UL335" s="301" t="s">
        <v>470</v>
      </c>
      <c r="UM335" s="301" t="s">
        <v>470</v>
      </c>
      <c r="UN335" s="301" t="s">
        <v>470</v>
      </c>
      <c r="UO335" s="301" t="s">
        <v>470</v>
      </c>
      <c r="UP335" s="301" t="s">
        <v>470</v>
      </c>
      <c r="UQ335" s="301" t="s">
        <v>470</v>
      </c>
      <c r="UR335" s="301" t="s">
        <v>470</v>
      </c>
      <c r="US335" s="301" t="s">
        <v>470</v>
      </c>
      <c r="UT335" s="301" t="s">
        <v>470</v>
      </c>
      <c r="UU335" s="301" t="s">
        <v>470</v>
      </c>
      <c r="UV335" s="301" t="s">
        <v>470</v>
      </c>
      <c r="UW335" s="301" t="s">
        <v>470</v>
      </c>
      <c r="UX335" s="301" t="s">
        <v>470</v>
      </c>
      <c r="UY335" s="301" t="s">
        <v>470</v>
      </c>
      <c r="UZ335" s="301" t="s">
        <v>470</v>
      </c>
      <c r="VA335" s="301" t="s">
        <v>470</v>
      </c>
      <c r="VB335" s="301" t="s">
        <v>470</v>
      </c>
      <c r="VC335" s="301" t="s">
        <v>470</v>
      </c>
      <c r="VD335" s="301" t="s">
        <v>470</v>
      </c>
      <c r="VE335" s="301" t="s">
        <v>470</v>
      </c>
      <c r="VF335" s="301" t="s">
        <v>470</v>
      </c>
      <c r="VG335" s="301" t="s">
        <v>470</v>
      </c>
      <c r="VH335" s="301" t="s">
        <v>470</v>
      </c>
      <c r="VI335" s="301" t="s">
        <v>470</v>
      </c>
      <c r="VJ335" s="301" t="s">
        <v>470</v>
      </c>
      <c r="VK335" s="301" t="s">
        <v>470</v>
      </c>
      <c r="VL335" s="301" t="s">
        <v>470</v>
      </c>
      <c r="VM335" s="301" t="s">
        <v>470</v>
      </c>
      <c r="VN335" s="301" t="s">
        <v>470</v>
      </c>
      <c r="VO335" s="301" t="s">
        <v>470</v>
      </c>
      <c r="VP335" s="301" t="s">
        <v>470</v>
      </c>
      <c r="VQ335" s="301" t="s">
        <v>470</v>
      </c>
      <c r="VR335" s="301" t="s">
        <v>470</v>
      </c>
      <c r="VS335" s="301" t="s">
        <v>470</v>
      </c>
      <c r="VT335" s="301" t="s">
        <v>470</v>
      </c>
      <c r="VU335" s="301" t="s">
        <v>470</v>
      </c>
      <c r="VV335" s="301" t="s">
        <v>470</v>
      </c>
      <c r="VW335" s="301" t="s">
        <v>470</v>
      </c>
      <c r="VX335" s="301" t="s">
        <v>470</v>
      </c>
      <c r="VY335" s="301" t="s">
        <v>470</v>
      </c>
      <c r="VZ335" s="301" t="s">
        <v>470</v>
      </c>
      <c r="WA335" s="301" t="s">
        <v>470</v>
      </c>
      <c r="WB335" s="301" t="s">
        <v>470</v>
      </c>
      <c r="WC335" s="301" t="s">
        <v>470</v>
      </c>
      <c r="WD335" s="301" t="s">
        <v>470</v>
      </c>
      <c r="WE335" s="301" t="s">
        <v>470</v>
      </c>
      <c r="WF335" s="301" t="s">
        <v>470</v>
      </c>
      <c r="WG335" s="301" t="s">
        <v>470</v>
      </c>
      <c r="WH335" s="301" t="s">
        <v>470</v>
      </c>
      <c r="WI335" s="301" t="s">
        <v>470</v>
      </c>
      <c r="WJ335" s="301" t="s">
        <v>470</v>
      </c>
      <c r="WK335" s="301" t="s">
        <v>470</v>
      </c>
      <c r="WL335" s="301" t="s">
        <v>470</v>
      </c>
      <c r="WM335" s="301" t="s">
        <v>470</v>
      </c>
      <c r="WN335" s="301" t="s">
        <v>470</v>
      </c>
      <c r="WO335" s="301" t="s">
        <v>470</v>
      </c>
      <c r="WP335" s="301" t="s">
        <v>470</v>
      </c>
      <c r="WQ335" s="301" t="s">
        <v>470</v>
      </c>
      <c r="WR335" s="301" t="s">
        <v>470</v>
      </c>
      <c r="WS335" s="301" t="s">
        <v>470</v>
      </c>
      <c r="WT335" s="301" t="s">
        <v>470</v>
      </c>
      <c r="WU335" s="301" t="s">
        <v>470</v>
      </c>
      <c r="WV335" s="301" t="s">
        <v>470</v>
      </c>
      <c r="WW335" s="301" t="s">
        <v>470</v>
      </c>
      <c r="WX335" s="301" t="s">
        <v>470</v>
      </c>
      <c r="WY335" s="301" t="s">
        <v>470</v>
      </c>
      <c r="WZ335" s="301" t="s">
        <v>470</v>
      </c>
      <c r="XA335" s="301" t="s">
        <v>470</v>
      </c>
      <c r="XB335" s="301" t="s">
        <v>470</v>
      </c>
      <c r="XC335" s="301" t="s">
        <v>470</v>
      </c>
      <c r="XD335" s="301" t="s">
        <v>470</v>
      </c>
      <c r="XE335" s="301" t="s">
        <v>470</v>
      </c>
      <c r="XF335" s="301" t="s">
        <v>470</v>
      </c>
      <c r="XG335" s="301" t="s">
        <v>470</v>
      </c>
      <c r="XH335" s="301" t="s">
        <v>470</v>
      </c>
      <c r="XI335" s="301" t="s">
        <v>470</v>
      </c>
      <c r="XJ335" s="301" t="s">
        <v>470</v>
      </c>
      <c r="XK335" s="301" t="s">
        <v>470</v>
      </c>
      <c r="XL335" s="301" t="s">
        <v>470</v>
      </c>
      <c r="XM335" s="301" t="s">
        <v>470</v>
      </c>
      <c r="XN335" s="301" t="s">
        <v>470</v>
      </c>
      <c r="XO335" s="301" t="s">
        <v>470</v>
      </c>
      <c r="XP335" s="301" t="s">
        <v>470</v>
      </c>
      <c r="XQ335" s="301" t="s">
        <v>470</v>
      </c>
      <c r="XR335" s="301" t="s">
        <v>470</v>
      </c>
      <c r="XS335" s="301" t="s">
        <v>470</v>
      </c>
      <c r="XT335" s="301" t="s">
        <v>470</v>
      </c>
      <c r="XU335" s="301" t="s">
        <v>470</v>
      </c>
      <c r="XV335" s="301" t="s">
        <v>470</v>
      </c>
      <c r="XW335" s="301" t="s">
        <v>470</v>
      </c>
      <c r="XX335" s="301" t="s">
        <v>470</v>
      </c>
      <c r="XY335" s="301" t="s">
        <v>470</v>
      </c>
      <c r="XZ335" s="301" t="s">
        <v>470</v>
      </c>
      <c r="YA335" s="301" t="s">
        <v>470</v>
      </c>
      <c r="YB335" s="301" t="s">
        <v>470</v>
      </c>
      <c r="YC335" s="301" t="s">
        <v>470</v>
      </c>
      <c r="YD335" s="301" t="s">
        <v>470</v>
      </c>
      <c r="YE335" s="301" t="s">
        <v>470</v>
      </c>
      <c r="YF335" s="301" t="s">
        <v>470</v>
      </c>
      <c r="YG335" s="301" t="s">
        <v>470</v>
      </c>
      <c r="YH335" s="301" t="s">
        <v>470</v>
      </c>
      <c r="YI335" s="301" t="s">
        <v>470</v>
      </c>
      <c r="YJ335" s="301" t="s">
        <v>470</v>
      </c>
      <c r="YK335" s="301" t="s">
        <v>470</v>
      </c>
      <c r="YL335" s="301" t="s">
        <v>470</v>
      </c>
      <c r="YM335" s="301" t="s">
        <v>470</v>
      </c>
      <c r="YN335" s="301" t="s">
        <v>470</v>
      </c>
      <c r="YO335" s="301" t="s">
        <v>470</v>
      </c>
      <c r="YP335" s="301" t="s">
        <v>470</v>
      </c>
      <c r="YQ335" s="301" t="s">
        <v>470</v>
      </c>
      <c r="YR335" s="301" t="s">
        <v>470</v>
      </c>
      <c r="YS335" s="301" t="s">
        <v>470</v>
      </c>
      <c r="YT335" s="301" t="s">
        <v>470</v>
      </c>
      <c r="YU335" s="301" t="s">
        <v>470</v>
      </c>
      <c r="YV335" s="301" t="s">
        <v>470</v>
      </c>
      <c r="YW335" s="301" t="s">
        <v>470</v>
      </c>
      <c r="YX335" s="301" t="s">
        <v>470</v>
      </c>
      <c r="YY335" s="301" t="s">
        <v>470</v>
      </c>
      <c r="YZ335" s="301" t="s">
        <v>470</v>
      </c>
      <c r="ZA335" s="301" t="s">
        <v>470</v>
      </c>
      <c r="ZB335" s="301" t="s">
        <v>470</v>
      </c>
      <c r="ZC335" s="301" t="s">
        <v>470</v>
      </c>
      <c r="ZD335" s="301" t="s">
        <v>470</v>
      </c>
      <c r="ZE335" s="301" t="s">
        <v>470</v>
      </c>
      <c r="ZF335" s="301" t="s">
        <v>470</v>
      </c>
      <c r="ZG335" s="301" t="s">
        <v>470</v>
      </c>
      <c r="ZH335" s="301" t="s">
        <v>470</v>
      </c>
      <c r="ZI335" s="301" t="s">
        <v>470</v>
      </c>
      <c r="ZJ335" s="301" t="s">
        <v>470</v>
      </c>
      <c r="ZK335" s="301" t="s">
        <v>470</v>
      </c>
      <c r="ZL335" s="301" t="s">
        <v>470</v>
      </c>
      <c r="ZM335" s="301" t="s">
        <v>470</v>
      </c>
      <c r="ZN335" s="301" t="s">
        <v>470</v>
      </c>
      <c r="ZO335" s="301" t="s">
        <v>470</v>
      </c>
      <c r="ZP335" s="301" t="s">
        <v>470</v>
      </c>
      <c r="ZQ335" s="301" t="s">
        <v>470</v>
      </c>
      <c r="ZR335" s="301" t="s">
        <v>470</v>
      </c>
      <c r="ZS335" s="301" t="s">
        <v>470</v>
      </c>
      <c r="ZT335" s="301" t="s">
        <v>470</v>
      </c>
      <c r="ZU335" s="301" t="s">
        <v>470</v>
      </c>
      <c r="ZV335" s="301" t="s">
        <v>470</v>
      </c>
      <c r="ZW335" s="301" t="s">
        <v>470</v>
      </c>
      <c r="ZX335" s="301" t="s">
        <v>470</v>
      </c>
      <c r="ZY335" s="301" t="s">
        <v>470</v>
      </c>
      <c r="ZZ335" s="301" t="s">
        <v>470</v>
      </c>
      <c r="AAA335" s="301" t="s">
        <v>470</v>
      </c>
      <c r="AAB335" s="301" t="s">
        <v>470</v>
      </c>
      <c r="AAC335" s="301" t="s">
        <v>470</v>
      </c>
      <c r="AAD335" s="301" t="s">
        <v>470</v>
      </c>
      <c r="AAE335" s="301" t="s">
        <v>470</v>
      </c>
      <c r="AAF335" s="301" t="s">
        <v>470</v>
      </c>
      <c r="AAG335" s="301" t="s">
        <v>470</v>
      </c>
      <c r="AAH335" s="301" t="s">
        <v>470</v>
      </c>
      <c r="AAI335" s="301" t="s">
        <v>470</v>
      </c>
      <c r="AAJ335" s="301" t="s">
        <v>470</v>
      </c>
      <c r="AAK335" s="301" t="s">
        <v>470</v>
      </c>
      <c r="AAL335" s="301" t="s">
        <v>470</v>
      </c>
      <c r="AAM335" s="301" t="s">
        <v>470</v>
      </c>
      <c r="AAN335" s="301" t="s">
        <v>470</v>
      </c>
      <c r="AAO335" s="301" t="s">
        <v>470</v>
      </c>
      <c r="AAP335" s="301" t="s">
        <v>470</v>
      </c>
      <c r="AAQ335" s="301" t="s">
        <v>470</v>
      </c>
      <c r="AAR335" s="301" t="s">
        <v>470</v>
      </c>
      <c r="AAS335" s="301" t="s">
        <v>470</v>
      </c>
      <c r="AAT335" s="301" t="s">
        <v>470</v>
      </c>
      <c r="AAU335" s="301" t="s">
        <v>470</v>
      </c>
      <c r="AAV335" s="301" t="s">
        <v>470</v>
      </c>
      <c r="AAW335" s="301" t="s">
        <v>470</v>
      </c>
      <c r="AAX335" s="301" t="s">
        <v>470</v>
      </c>
      <c r="AAY335" s="301" t="s">
        <v>470</v>
      </c>
      <c r="AAZ335" s="301" t="s">
        <v>470</v>
      </c>
      <c r="ABA335" s="301" t="s">
        <v>470</v>
      </c>
      <c r="ABB335" s="301" t="s">
        <v>470</v>
      </c>
      <c r="ABC335" s="301" t="s">
        <v>470</v>
      </c>
      <c r="ABD335" s="301" t="s">
        <v>470</v>
      </c>
      <c r="ABE335" s="301" t="s">
        <v>470</v>
      </c>
      <c r="ABF335" s="301" t="s">
        <v>470</v>
      </c>
      <c r="ABG335" s="301" t="s">
        <v>470</v>
      </c>
      <c r="ABH335" s="301" t="s">
        <v>470</v>
      </c>
      <c r="ABI335" s="301" t="s">
        <v>470</v>
      </c>
      <c r="ABJ335" s="301" t="s">
        <v>470</v>
      </c>
      <c r="ABK335" s="301" t="s">
        <v>470</v>
      </c>
      <c r="ABL335" s="301" t="s">
        <v>470</v>
      </c>
      <c r="ABM335" s="301" t="s">
        <v>470</v>
      </c>
      <c r="ABN335" s="301" t="s">
        <v>470</v>
      </c>
      <c r="ABO335" s="301" t="s">
        <v>470</v>
      </c>
      <c r="ABP335" s="301" t="s">
        <v>470</v>
      </c>
      <c r="ABQ335" s="301" t="s">
        <v>470</v>
      </c>
      <c r="ABR335" s="301" t="s">
        <v>470</v>
      </c>
      <c r="ABS335" s="301" t="s">
        <v>470</v>
      </c>
      <c r="ABT335" s="301" t="s">
        <v>470</v>
      </c>
      <c r="ABU335" s="301" t="s">
        <v>470</v>
      </c>
      <c r="ABV335" s="301" t="s">
        <v>470</v>
      </c>
      <c r="ABW335" s="301" t="s">
        <v>470</v>
      </c>
      <c r="ABX335" s="301" t="s">
        <v>470</v>
      </c>
      <c r="ABY335" s="301" t="s">
        <v>470</v>
      </c>
      <c r="ABZ335" s="301" t="s">
        <v>470</v>
      </c>
      <c r="ACA335" s="301" t="s">
        <v>470</v>
      </c>
      <c r="ACB335" s="301" t="s">
        <v>470</v>
      </c>
      <c r="ACC335" s="301" t="s">
        <v>470</v>
      </c>
      <c r="ACD335" s="301" t="s">
        <v>470</v>
      </c>
      <c r="ACE335" s="301" t="s">
        <v>470</v>
      </c>
      <c r="ACF335" s="301" t="s">
        <v>470</v>
      </c>
      <c r="ACG335" s="301" t="s">
        <v>470</v>
      </c>
      <c r="ACH335" s="301" t="s">
        <v>470</v>
      </c>
      <c r="ACI335" s="301" t="s">
        <v>470</v>
      </c>
      <c r="ACJ335" s="301" t="s">
        <v>470</v>
      </c>
      <c r="ACK335" s="301" t="s">
        <v>470</v>
      </c>
      <c r="ACL335" s="301" t="s">
        <v>470</v>
      </c>
      <c r="ACM335" s="301" t="s">
        <v>470</v>
      </c>
      <c r="ACN335" s="301" t="s">
        <v>470</v>
      </c>
      <c r="ACO335" s="301" t="s">
        <v>470</v>
      </c>
      <c r="ACP335" s="301" t="s">
        <v>470</v>
      </c>
      <c r="ACQ335" s="301" t="s">
        <v>470</v>
      </c>
      <c r="ACR335" s="301" t="s">
        <v>470</v>
      </c>
      <c r="ACS335" s="301" t="s">
        <v>470</v>
      </c>
      <c r="ACT335" s="301" t="s">
        <v>470</v>
      </c>
      <c r="ACU335" s="301" t="s">
        <v>470</v>
      </c>
      <c r="ACV335" s="301" t="s">
        <v>470</v>
      </c>
      <c r="ACW335" s="301" t="s">
        <v>470</v>
      </c>
      <c r="ACX335" s="301" t="s">
        <v>470</v>
      </c>
      <c r="ACY335" s="301" t="s">
        <v>470</v>
      </c>
      <c r="ACZ335" s="301" t="s">
        <v>470</v>
      </c>
      <c r="ADA335" s="301" t="s">
        <v>470</v>
      </c>
      <c r="ADB335" s="301" t="s">
        <v>470</v>
      </c>
      <c r="ADC335" s="301" t="s">
        <v>470</v>
      </c>
      <c r="ADD335" s="301" t="s">
        <v>470</v>
      </c>
      <c r="ADE335" s="301" t="s">
        <v>470</v>
      </c>
      <c r="ADF335" s="301" t="s">
        <v>470</v>
      </c>
      <c r="ADG335" s="301" t="s">
        <v>470</v>
      </c>
      <c r="ADH335" s="301" t="s">
        <v>470</v>
      </c>
      <c r="ADI335" s="301" t="s">
        <v>470</v>
      </c>
      <c r="ADJ335" s="301" t="s">
        <v>470</v>
      </c>
      <c r="ADK335" s="301" t="s">
        <v>470</v>
      </c>
      <c r="ADL335" s="301" t="s">
        <v>470</v>
      </c>
      <c r="ADM335" s="301" t="s">
        <v>470</v>
      </c>
      <c r="ADN335" s="301" t="s">
        <v>470</v>
      </c>
      <c r="ADO335" s="301" t="s">
        <v>470</v>
      </c>
      <c r="ADP335" s="301" t="s">
        <v>470</v>
      </c>
      <c r="ADQ335" s="301" t="s">
        <v>470</v>
      </c>
      <c r="ADR335" s="301" t="s">
        <v>470</v>
      </c>
      <c r="ADS335" s="301" t="s">
        <v>470</v>
      </c>
      <c r="ADT335" s="301" t="s">
        <v>470</v>
      </c>
      <c r="ADU335" s="301" t="s">
        <v>470</v>
      </c>
      <c r="ADV335" s="301" t="s">
        <v>470</v>
      </c>
      <c r="ADW335" s="301" t="s">
        <v>470</v>
      </c>
      <c r="ADX335" s="301" t="s">
        <v>470</v>
      </c>
      <c r="ADY335" s="301" t="s">
        <v>470</v>
      </c>
      <c r="ADZ335" s="301" t="s">
        <v>470</v>
      </c>
      <c r="AEA335" s="301" t="s">
        <v>470</v>
      </c>
      <c r="AEB335" s="301" t="s">
        <v>470</v>
      </c>
      <c r="AEC335" s="301" t="s">
        <v>470</v>
      </c>
      <c r="AED335" s="301" t="s">
        <v>470</v>
      </c>
      <c r="AEE335" s="301" t="s">
        <v>470</v>
      </c>
      <c r="AEF335" s="301" t="s">
        <v>470</v>
      </c>
      <c r="AEG335" s="301" t="s">
        <v>470</v>
      </c>
      <c r="AEH335" s="301" t="s">
        <v>470</v>
      </c>
      <c r="AEI335" s="301" t="s">
        <v>470</v>
      </c>
      <c r="AEJ335" s="301" t="s">
        <v>470</v>
      </c>
      <c r="AEK335" s="301" t="s">
        <v>470</v>
      </c>
      <c r="AEL335" s="301" t="s">
        <v>470</v>
      </c>
      <c r="AEM335" s="301" t="s">
        <v>470</v>
      </c>
      <c r="AEN335" s="301" t="s">
        <v>470</v>
      </c>
      <c r="AEO335" s="301" t="s">
        <v>470</v>
      </c>
      <c r="AEP335" s="301" t="s">
        <v>470</v>
      </c>
      <c r="AEQ335" s="301" t="s">
        <v>470</v>
      </c>
      <c r="AER335" s="301" t="s">
        <v>470</v>
      </c>
      <c r="AES335" s="301" t="s">
        <v>470</v>
      </c>
      <c r="AET335" s="301" t="s">
        <v>470</v>
      </c>
      <c r="AEU335" s="301" t="s">
        <v>470</v>
      </c>
      <c r="AEV335" s="301" t="s">
        <v>470</v>
      </c>
      <c r="AEW335" s="301" t="s">
        <v>470</v>
      </c>
      <c r="AEX335" s="301" t="s">
        <v>470</v>
      </c>
      <c r="AEY335" s="301" t="s">
        <v>470</v>
      </c>
      <c r="AEZ335" s="301" t="s">
        <v>470</v>
      </c>
      <c r="AFA335" s="301" t="s">
        <v>470</v>
      </c>
      <c r="AFB335" s="301" t="s">
        <v>470</v>
      </c>
      <c r="AFC335" s="301" t="s">
        <v>470</v>
      </c>
      <c r="AFD335" s="301" t="s">
        <v>470</v>
      </c>
      <c r="AFE335" s="301" t="s">
        <v>470</v>
      </c>
      <c r="AFF335" s="301" t="s">
        <v>470</v>
      </c>
      <c r="AFG335" s="301" t="s">
        <v>470</v>
      </c>
      <c r="AFH335" s="301" t="s">
        <v>470</v>
      </c>
      <c r="AFI335" s="301" t="s">
        <v>470</v>
      </c>
      <c r="AFJ335" s="301" t="s">
        <v>470</v>
      </c>
      <c r="AFK335" s="301" t="s">
        <v>470</v>
      </c>
      <c r="AFL335" s="301" t="s">
        <v>470</v>
      </c>
      <c r="AFM335" s="301" t="s">
        <v>470</v>
      </c>
      <c r="AFN335" s="301" t="s">
        <v>470</v>
      </c>
      <c r="AFO335" s="301" t="s">
        <v>470</v>
      </c>
      <c r="AFP335" s="301" t="s">
        <v>470</v>
      </c>
      <c r="AFQ335" s="301" t="s">
        <v>470</v>
      </c>
      <c r="AFR335" s="301" t="s">
        <v>470</v>
      </c>
      <c r="AFS335" s="301" t="s">
        <v>470</v>
      </c>
      <c r="AFT335" s="301" t="s">
        <v>470</v>
      </c>
      <c r="AFU335" s="301" t="s">
        <v>470</v>
      </c>
      <c r="AFV335" s="301" t="s">
        <v>470</v>
      </c>
      <c r="AFW335" s="301" t="s">
        <v>470</v>
      </c>
      <c r="AFX335" s="301" t="s">
        <v>470</v>
      </c>
      <c r="AFY335" s="301" t="s">
        <v>470</v>
      </c>
      <c r="AFZ335" s="301" t="s">
        <v>470</v>
      </c>
      <c r="AGA335" s="301" t="s">
        <v>470</v>
      </c>
      <c r="AGB335" s="301" t="s">
        <v>470</v>
      </c>
      <c r="AGC335" s="301" t="s">
        <v>470</v>
      </c>
      <c r="AGD335" s="301" t="s">
        <v>470</v>
      </c>
      <c r="AGE335" s="301" t="s">
        <v>470</v>
      </c>
      <c r="AGF335" s="301" t="s">
        <v>470</v>
      </c>
      <c r="AGG335" s="301" t="s">
        <v>470</v>
      </c>
      <c r="AGH335" s="301" t="s">
        <v>470</v>
      </c>
      <c r="AGI335" s="301" t="s">
        <v>470</v>
      </c>
      <c r="AGJ335" s="301" t="s">
        <v>470</v>
      </c>
      <c r="AGK335" s="301" t="s">
        <v>470</v>
      </c>
      <c r="AGL335" s="301" t="s">
        <v>470</v>
      </c>
      <c r="AGM335" s="301" t="s">
        <v>470</v>
      </c>
      <c r="AGN335" s="301" t="s">
        <v>470</v>
      </c>
      <c r="AGO335" s="301" t="s">
        <v>470</v>
      </c>
      <c r="AGP335" s="301" t="s">
        <v>470</v>
      </c>
      <c r="AGQ335" s="301" t="s">
        <v>470</v>
      </c>
      <c r="AGR335" s="301" t="s">
        <v>470</v>
      </c>
      <c r="AGS335" s="301" t="s">
        <v>470</v>
      </c>
      <c r="AGT335" s="301" t="s">
        <v>470</v>
      </c>
      <c r="AGU335" s="301" t="s">
        <v>470</v>
      </c>
      <c r="AGV335" s="301" t="s">
        <v>470</v>
      </c>
      <c r="AGW335" s="301" t="s">
        <v>470</v>
      </c>
      <c r="AGX335" s="301" t="s">
        <v>470</v>
      </c>
      <c r="AGY335" s="301" t="s">
        <v>470</v>
      </c>
      <c r="AGZ335" s="301" t="s">
        <v>470</v>
      </c>
      <c r="AHA335" s="301" t="s">
        <v>470</v>
      </c>
      <c r="AHB335" s="301" t="s">
        <v>470</v>
      </c>
      <c r="AHC335" s="301" t="s">
        <v>470</v>
      </c>
      <c r="AHD335" s="301" t="s">
        <v>470</v>
      </c>
      <c r="AHE335" s="301" t="s">
        <v>470</v>
      </c>
      <c r="AHF335" s="301" t="s">
        <v>470</v>
      </c>
      <c r="AHG335" s="301" t="s">
        <v>470</v>
      </c>
      <c r="AHH335" s="301" t="s">
        <v>470</v>
      </c>
      <c r="AHI335" s="301" t="s">
        <v>470</v>
      </c>
      <c r="AHJ335" s="301" t="s">
        <v>470</v>
      </c>
      <c r="AHK335" s="301" t="s">
        <v>470</v>
      </c>
      <c r="AHL335" s="301" t="s">
        <v>470</v>
      </c>
      <c r="AHM335" s="301" t="s">
        <v>470</v>
      </c>
      <c r="AHN335" s="301" t="s">
        <v>470</v>
      </c>
      <c r="AHO335" s="301" t="s">
        <v>470</v>
      </c>
      <c r="AHP335" s="301" t="s">
        <v>470</v>
      </c>
      <c r="AHQ335" s="301" t="s">
        <v>470</v>
      </c>
      <c r="AHR335" s="301" t="s">
        <v>470</v>
      </c>
      <c r="AHS335" s="301" t="s">
        <v>470</v>
      </c>
      <c r="AHT335" s="301" t="s">
        <v>470</v>
      </c>
      <c r="AHU335" s="301" t="s">
        <v>470</v>
      </c>
      <c r="AHV335" s="301" t="s">
        <v>470</v>
      </c>
      <c r="AHW335" s="301" t="s">
        <v>470</v>
      </c>
      <c r="AHX335" s="301" t="s">
        <v>470</v>
      </c>
      <c r="AHY335" s="301" t="s">
        <v>470</v>
      </c>
      <c r="AHZ335" s="301" t="s">
        <v>470</v>
      </c>
      <c r="AIA335" s="301" t="s">
        <v>470</v>
      </c>
      <c r="AIB335" s="301" t="s">
        <v>470</v>
      </c>
      <c r="AIC335" s="301" t="s">
        <v>470</v>
      </c>
      <c r="AID335" s="301" t="s">
        <v>470</v>
      </c>
      <c r="AIE335" s="301" t="s">
        <v>470</v>
      </c>
      <c r="AIF335" s="301" t="s">
        <v>470</v>
      </c>
      <c r="AIG335" s="301" t="s">
        <v>470</v>
      </c>
      <c r="AIH335" s="301" t="s">
        <v>470</v>
      </c>
      <c r="AII335" s="301" t="s">
        <v>470</v>
      </c>
      <c r="AIJ335" s="301" t="s">
        <v>470</v>
      </c>
      <c r="AIK335" s="301" t="s">
        <v>470</v>
      </c>
      <c r="AIL335" s="301" t="s">
        <v>470</v>
      </c>
      <c r="AIM335" s="301" t="s">
        <v>470</v>
      </c>
      <c r="AIN335" s="301" t="s">
        <v>470</v>
      </c>
      <c r="AIO335" s="301" t="s">
        <v>470</v>
      </c>
      <c r="AIP335" s="301" t="s">
        <v>470</v>
      </c>
      <c r="AIQ335" s="301" t="s">
        <v>470</v>
      </c>
      <c r="AIR335" s="301" t="s">
        <v>470</v>
      </c>
      <c r="AIS335" s="301" t="s">
        <v>470</v>
      </c>
      <c r="AIT335" s="301" t="s">
        <v>470</v>
      </c>
      <c r="AIU335" s="301" t="s">
        <v>470</v>
      </c>
      <c r="AIV335" s="301" t="s">
        <v>470</v>
      </c>
      <c r="AIW335" s="301" t="s">
        <v>470</v>
      </c>
      <c r="AIX335" s="301" t="s">
        <v>470</v>
      </c>
      <c r="AIY335" s="301" t="s">
        <v>470</v>
      </c>
      <c r="AIZ335" s="301" t="s">
        <v>470</v>
      </c>
      <c r="AJA335" s="301" t="s">
        <v>470</v>
      </c>
      <c r="AJB335" s="301" t="s">
        <v>470</v>
      </c>
      <c r="AJC335" s="301" t="s">
        <v>470</v>
      </c>
      <c r="AJD335" s="301" t="s">
        <v>470</v>
      </c>
      <c r="AJE335" s="301" t="s">
        <v>470</v>
      </c>
      <c r="AJF335" s="301" t="s">
        <v>470</v>
      </c>
      <c r="AJG335" s="301" t="s">
        <v>470</v>
      </c>
      <c r="AJH335" s="301" t="s">
        <v>470</v>
      </c>
      <c r="AJI335" s="301" t="s">
        <v>470</v>
      </c>
      <c r="AJJ335" s="301" t="s">
        <v>470</v>
      </c>
      <c r="AJK335" s="301" t="s">
        <v>470</v>
      </c>
      <c r="AJL335" s="301" t="s">
        <v>470</v>
      </c>
      <c r="AJM335" s="301" t="s">
        <v>470</v>
      </c>
      <c r="AJN335" s="301" t="s">
        <v>470</v>
      </c>
      <c r="AJO335" s="301" t="s">
        <v>470</v>
      </c>
      <c r="AJP335" s="301" t="s">
        <v>470</v>
      </c>
      <c r="AJQ335" s="301" t="s">
        <v>470</v>
      </c>
      <c r="AJR335" s="301" t="s">
        <v>470</v>
      </c>
      <c r="AJS335" s="301" t="s">
        <v>470</v>
      </c>
      <c r="AJT335" s="301" t="s">
        <v>470</v>
      </c>
      <c r="AJU335" s="301" t="s">
        <v>470</v>
      </c>
      <c r="AJV335" s="301" t="s">
        <v>470</v>
      </c>
      <c r="AJW335" s="301" t="s">
        <v>470</v>
      </c>
      <c r="AJX335" s="301" t="s">
        <v>470</v>
      </c>
      <c r="AJY335" s="301" t="s">
        <v>470</v>
      </c>
      <c r="AJZ335" s="301" t="s">
        <v>470</v>
      </c>
      <c r="AKA335" s="301" t="s">
        <v>470</v>
      </c>
      <c r="AKB335" s="301" t="s">
        <v>470</v>
      </c>
      <c r="AKC335" s="301" t="s">
        <v>470</v>
      </c>
      <c r="AKD335" s="301" t="s">
        <v>470</v>
      </c>
      <c r="AKE335" s="301" t="s">
        <v>470</v>
      </c>
      <c r="AKF335" s="301" t="s">
        <v>470</v>
      </c>
      <c r="AKG335" s="301" t="s">
        <v>470</v>
      </c>
      <c r="AKH335" s="301" t="s">
        <v>470</v>
      </c>
      <c r="AKI335" s="301" t="s">
        <v>470</v>
      </c>
      <c r="AKJ335" s="301" t="s">
        <v>470</v>
      </c>
      <c r="AKK335" s="301" t="s">
        <v>470</v>
      </c>
      <c r="AKL335" s="301" t="s">
        <v>470</v>
      </c>
      <c r="AKM335" s="301" t="s">
        <v>470</v>
      </c>
      <c r="AKN335" s="301" t="s">
        <v>470</v>
      </c>
      <c r="AKO335" s="301" t="s">
        <v>470</v>
      </c>
      <c r="AKP335" s="301" t="s">
        <v>470</v>
      </c>
      <c r="AKQ335" s="301" t="s">
        <v>470</v>
      </c>
      <c r="AKR335" s="301" t="s">
        <v>470</v>
      </c>
      <c r="AKS335" s="301" t="s">
        <v>470</v>
      </c>
      <c r="AKT335" s="301" t="s">
        <v>470</v>
      </c>
      <c r="AKU335" s="301" t="s">
        <v>470</v>
      </c>
      <c r="AKV335" s="301" t="s">
        <v>470</v>
      </c>
      <c r="AKW335" s="301" t="s">
        <v>470</v>
      </c>
      <c r="AKX335" s="301" t="s">
        <v>470</v>
      </c>
      <c r="AKY335" s="301" t="s">
        <v>470</v>
      </c>
      <c r="AKZ335" s="301" t="s">
        <v>470</v>
      </c>
      <c r="ALA335" s="301" t="s">
        <v>470</v>
      </c>
      <c r="ALB335" s="301" t="s">
        <v>470</v>
      </c>
      <c r="ALC335" s="301" t="s">
        <v>470</v>
      </c>
      <c r="ALD335" s="301" t="s">
        <v>470</v>
      </c>
      <c r="ALE335" s="301" t="s">
        <v>470</v>
      </c>
      <c r="ALF335" s="301" t="s">
        <v>470</v>
      </c>
      <c r="ALG335" s="301" t="s">
        <v>470</v>
      </c>
      <c r="ALH335" s="301" t="s">
        <v>470</v>
      </c>
      <c r="ALI335" s="301" t="s">
        <v>470</v>
      </c>
      <c r="ALJ335" s="301" t="s">
        <v>470</v>
      </c>
      <c r="ALK335" s="301" t="s">
        <v>470</v>
      </c>
      <c r="ALL335" s="301" t="s">
        <v>470</v>
      </c>
      <c r="ALM335" s="301" t="s">
        <v>470</v>
      </c>
      <c r="ALN335" s="301" t="s">
        <v>470</v>
      </c>
      <c r="ALO335" s="301" t="s">
        <v>470</v>
      </c>
      <c r="ALP335" s="301" t="s">
        <v>470</v>
      </c>
      <c r="ALQ335" s="301" t="s">
        <v>470</v>
      </c>
      <c r="ALR335" s="301" t="s">
        <v>470</v>
      </c>
      <c r="ALS335" s="301" t="s">
        <v>470</v>
      </c>
      <c r="ALT335" s="301" t="s">
        <v>470</v>
      </c>
      <c r="ALU335" s="301" t="s">
        <v>470</v>
      </c>
      <c r="ALV335" s="301" t="s">
        <v>470</v>
      </c>
      <c r="ALW335" s="301" t="s">
        <v>470</v>
      </c>
      <c r="ALX335" s="301" t="s">
        <v>470</v>
      </c>
      <c r="ALY335" s="301" t="s">
        <v>470</v>
      </c>
      <c r="ALZ335" s="301" t="s">
        <v>470</v>
      </c>
      <c r="AMA335" s="301" t="s">
        <v>470</v>
      </c>
      <c r="AMB335" s="301" t="s">
        <v>470</v>
      </c>
      <c r="AMC335" s="301" t="s">
        <v>470</v>
      </c>
      <c r="AMD335" s="301" t="s">
        <v>470</v>
      </c>
      <c r="AME335" s="301" t="s">
        <v>470</v>
      </c>
      <c r="AMF335" s="301" t="s">
        <v>470</v>
      </c>
      <c r="AMG335" s="301" t="s">
        <v>470</v>
      </c>
      <c r="AMH335" s="301" t="s">
        <v>470</v>
      </c>
      <c r="AMI335" s="301" t="s">
        <v>470</v>
      </c>
      <c r="AMJ335" s="301" t="s">
        <v>470</v>
      </c>
      <c r="AMK335" s="301" t="s">
        <v>470</v>
      </c>
      <c r="AML335" s="301" t="s">
        <v>470</v>
      </c>
      <c r="AMM335" s="301" t="s">
        <v>470</v>
      </c>
      <c r="AMN335" s="301" t="s">
        <v>470</v>
      </c>
      <c r="AMO335" s="301" t="s">
        <v>470</v>
      </c>
      <c r="AMP335" s="301" t="s">
        <v>470</v>
      </c>
      <c r="AMQ335" s="301" t="s">
        <v>470</v>
      </c>
      <c r="AMR335" s="301" t="s">
        <v>470</v>
      </c>
      <c r="AMS335" s="301" t="s">
        <v>470</v>
      </c>
      <c r="AMT335" s="301" t="s">
        <v>470</v>
      </c>
      <c r="AMU335" s="301" t="s">
        <v>470</v>
      </c>
      <c r="AMV335" s="301" t="s">
        <v>470</v>
      </c>
      <c r="AMW335" s="301" t="s">
        <v>470</v>
      </c>
      <c r="AMX335" s="301" t="s">
        <v>470</v>
      </c>
      <c r="AMY335" s="301" t="s">
        <v>470</v>
      </c>
      <c r="AMZ335" s="301" t="s">
        <v>470</v>
      </c>
      <c r="ANA335" s="301" t="s">
        <v>470</v>
      </c>
      <c r="ANB335" s="301" t="s">
        <v>470</v>
      </c>
      <c r="ANC335" s="301" t="s">
        <v>470</v>
      </c>
      <c r="AND335" s="301" t="s">
        <v>470</v>
      </c>
      <c r="ANE335" s="301" t="s">
        <v>470</v>
      </c>
      <c r="ANF335" s="301" t="s">
        <v>470</v>
      </c>
      <c r="ANG335" s="301" t="s">
        <v>470</v>
      </c>
      <c r="ANH335" s="301" t="s">
        <v>470</v>
      </c>
      <c r="ANI335" s="301" t="s">
        <v>470</v>
      </c>
      <c r="ANJ335" s="301" t="s">
        <v>470</v>
      </c>
      <c r="ANK335" s="301" t="s">
        <v>470</v>
      </c>
      <c r="ANL335" s="301" t="s">
        <v>470</v>
      </c>
      <c r="ANM335" s="301" t="s">
        <v>470</v>
      </c>
      <c r="ANN335" s="301" t="s">
        <v>470</v>
      </c>
      <c r="ANO335" s="301" t="s">
        <v>470</v>
      </c>
      <c r="ANP335" s="301" t="s">
        <v>470</v>
      </c>
      <c r="ANQ335" s="301" t="s">
        <v>470</v>
      </c>
      <c r="ANR335" s="301" t="s">
        <v>470</v>
      </c>
      <c r="ANS335" s="301" t="s">
        <v>470</v>
      </c>
      <c r="ANT335" s="301" t="s">
        <v>470</v>
      </c>
      <c r="ANU335" s="301" t="s">
        <v>470</v>
      </c>
      <c r="ANV335" s="301" t="s">
        <v>470</v>
      </c>
      <c r="ANW335" s="301" t="s">
        <v>470</v>
      </c>
      <c r="ANX335" s="301" t="s">
        <v>470</v>
      </c>
      <c r="ANY335" s="301" t="s">
        <v>470</v>
      </c>
      <c r="ANZ335" s="301" t="s">
        <v>470</v>
      </c>
      <c r="AOA335" s="301" t="s">
        <v>470</v>
      </c>
      <c r="AOB335" s="301" t="s">
        <v>470</v>
      </c>
      <c r="AOC335" s="301" t="s">
        <v>470</v>
      </c>
      <c r="AOD335" s="301" t="s">
        <v>470</v>
      </c>
      <c r="AOE335" s="301" t="s">
        <v>470</v>
      </c>
      <c r="AOF335" s="301" t="s">
        <v>470</v>
      </c>
      <c r="AOG335" s="301" t="s">
        <v>470</v>
      </c>
      <c r="AOH335" s="301" t="s">
        <v>470</v>
      </c>
      <c r="AOI335" s="301" t="s">
        <v>470</v>
      </c>
      <c r="AOJ335" s="301" t="s">
        <v>470</v>
      </c>
      <c r="AOK335" s="301" t="s">
        <v>470</v>
      </c>
      <c r="AOL335" s="301" t="s">
        <v>470</v>
      </c>
      <c r="AOM335" s="301" t="s">
        <v>470</v>
      </c>
      <c r="AON335" s="301" t="s">
        <v>470</v>
      </c>
      <c r="AOO335" s="301" t="s">
        <v>470</v>
      </c>
      <c r="AOP335" s="301" t="s">
        <v>470</v>
      </c>
      <c r="AOQ335" s="301" t="s">
        <v>470</v>
      </c>
      <c r="AOR335" s="301" t="s">
        <v>470</v>
      </c>
      <c r="AOS335" s="301" t="s">
        <v>470</v>
      </c>
      <c r="AOT335" s="301" t="s">
        <v>470</v>
      </c>
      <c r="AOU335" s="301" t="s">
        <v>470</v>
      </c>
      <c r="AOV335" s="301" t="s">
        <v>470</v>
      </c>
      <c r="AOW335" s="301" t="s">
        <v>470</v>
      </c>
      <c r="AOX335" s="301" t="s">
        <v>470</v>
      </c>
      <c r="AOY335" s="301" t="s">
        <v>470</v>
      </c>
      <c r="AOZ335" s="301" t="s">
        <v>470</v>
      </c>
      <c r="APA335" s="301" t="s">
        <v>470</v>
      </c>
      <c r="APB335" s="301" t="s">
        <v>470</v>
      </c>
      <c r="APC335" s="301" t="s">
        <v>470</v>
      </c>
      <c r="APD335" s="301" t="s">
        <v>470</v>
      </c>
      <c r="APE335" s="301" t="s">
        <v>470</v>
      </c>
      <c r="APF335" s="301" t="s">
        <v>470</v>
      </c>
      <c r="APG335" s="301" t="s">
        <v>470</v>
      </c>
      <c r="APH335" s="301" t="s">
        <v>470</v>
      </c>
      <c r="API335" s="301" t="s">
        <v>470</v>
      </c>
      <c r="APJ335" s="301" t="s">
        <v>470</v>
      </c>
      <c r="APK335" s="301" t="s">
        <v>470</v>
      </c>
      <c r="APL335" s="301" t="s">
        <v>470</v>
      </c>
      <c r="APM335" s="301" t="s">
        <v>470</v>
      </c>
      <c r="APN335" s="301" t="s">
        <v>470</v>
      </c>
      <c r="APO335" s="301" t="s">
        <v>470</v>
      </c>
      <c r="APP335" s="301" t="s">
        <v>470</v>
      </c>
      <c r="APQ335" s="301" t="s">
        <v>470</v>
      </c>
      <c r="APR335" s="301" t="s">
        <v>470</v>
      </c>
      <c r="APS335" s="301" t="s">
        <v>470</v>
      </c>
      <c r="APT335" s="301" t="s">
        <v>470</v>
      </c>
      <c r="APU335" s="301" t="s">
        <v>470</v>
      </c>
      <c r="APV335" s="301" t="s">
        <v>470</v>
      </c>
      <c r="APW335" s="301" t="s">
        <v>470</v>
      </c>
      <c r="APX335" s="301" t="s">
        <v>470</v>
      </c>
      <c r="APY335" s="301" t="s">
        <v>470</v>
      </c>
      <c r="APZ335" s="301" t="s">
        <v>470</v>
      </c>
      <c r="AQA335" s="301" t="s">
        <v>470</v>
      </c>
      <c r="AQB335" s="301" t="s">
        <v>470</v>
      </c>
      <c r="AQC335" s="301" t="s">
        <v>470</v>
      </c>
      <c r="AQD335" s="301" t="s">
        <v>470</v>
      </c>
      <c r="AQE335" s="301" t="s">
        <v>470</v>
      </c>
      <c r="AQF335" s="301" t="s">
        <v>470</v>
      </c>
      <c r="AQG335" s="301" t="s">
        <v>470</v>
      </c>
      <c r="AQH335" s="301" t="s">
        <v>470</v>
      </c>
      <c r="AQI335" s="301" t="s">
        <v>470</v>
      </c>
      <c r="AQJ335" s="301" t="s">
        <v>470</v>
      </c>
      <c r="AQK335" s="301" t="s">
        <v>470</v>
      </c>
      <c r="AQL335" s="301" t="s">
        <v>470</v>
      </c>
      <c r="AQM335" s="301" t="s">
        <v>470</v>
      </c>
      <c r="AQN335" s="301" t="s">
        <v>470</v>
      </c>
      <c r="AQO335" s="301" t="s">
        <v>470</v>
      </c>
      <c r="AQP335" s="301" t="s">
        <v>470</v>
      </c>
      <c r="AQQ335" s="301" t="s">
        <v>470</v>
      </c>
      <c r="AQR335" s="301" t="s">
        <v>470</v>
      </c>
      <c r="AQS335" s="301" t="s">
        <v>470</v>
      </c>
      <c r="AQT335" s="301" t="s">
        <v>470</v>
      </c>
      <c r="AQU335" s="301" t="s">
        <v>470</v>
      </c>
      <c r="AQV335" s="301" t="s">
        <v>470</v>
      </c>
      <c r="AQW335" s="301" t="s">
        <v>470</v>
      </c>
      <c r="AQX335" s="301" t="s">
        <v>470</v>
      </c>
      <c r="AQY335" s="301" t="s">
        <v>470</v>
      </c>
      <c r="AQZ335" s="301" t="s">
        <v>470</v>
      </c>
      <c r="ARA335" s="301" t="s">
        <v>470</v>
      </c>
      <c r="ARB335" s="301" t="s">
        <v>470</v>
      </c>
      <c r="ARC335" s="301" t="s">
        <v>470</v>
      </c>
      <c r="ARD335" s="301" t="s">
        <v>470</v>
      </c>
      <c r="ARE335" s="301" t="s">
        <v>470</v>
      </c>
      <c r="ARF335" s="301" t="s">
        <v>470</v>
      </c>
      <c r="ARG335" s="301" t="s">
        <v>470</v>
      </c>
      <c r="ARH335" s="301" t="s">
        <v>470</v>
      </c>
      <c r="ARI335" s="301" t="s">
        <v>470</v>
      </c>
      <c r="ARJ335" s="301" t="s">
        <v>470</v>
      </c>
      <c r="ARK335" s="301" t="s">
        <v>470</v>
      </c>
      <c r="ARL335" s="301" t="s">
        <v>470</v>
      </c>
      <c r="ARM335" s="301" t="s">
        <v>470</v>
      </c>
      <c r="ARN335" s="301" t="s">
        <v>470</v>
      </c>
      <c r="ARO335" s="301" t="s">
        <v>470</v>
      </c>
      <c r="ARP335" s="301" t="s">
        <v>470</v>
      </c>
      <c r="ARQ335" s="301" t="s">
        <v>470</v>
      </c>
      <c r="ARR335" s="301" t="s">
        <v>470</v>
      </c>
      <c r="ARS335" s="301" t="s">
        <v>470</v>
      </c>
      <c r="ART335" s="301" t="s">
        <v>470</v>
      </c>
      <c r="ARU335" s="301" t="s">
        <v>470</v>
      </c>
      <c r="ARV335" s="301" t="s">
        <v>470</v>
      </c>
      <c r="ARW335" s="301" t="s">
        <v>470</v>
      </c>
      <c r="ARX335" s="301" t="s">
        <v>470</v>
      </c>
      <c r="ARY335" s="301" t="s">
        <v>470</v>
      </c>
      <c r="ARZ335" s="301" t="s">
        <v>470</v>
      </c>
      <c r="ASA335" s="301" t="s">
        <v>470</v>
      </c>
      <c r="ASB335" s="301" t="s">
        <v>470</v>
      </c>
      <c r="ASC335" s="301" t="s">
        <v>470</v>
      </c>
      <c r="ASD335" s="301" t="s">
        <v>470</v>
      </c>
      <c r="ASE335" s="301" t="s">
        <v>470</v>
      </c>
      <c r="ASF335" s="301" t="s">
        <v>470</v>
      </c>
      <c r="ASG335" s="301" t="s">
        <v>470</v>
      </c>
      <c r="ASH335" s="301" t="s">
        <v>470</v>
      </c>
      <c r="ASI335" s="301" t="s">
        <v>470</v>
      </c>
      <c r="ASJ335" s="301" t="s">
        <v>470</v>
      </c>
      <c r="ASK335" s="301" t="s">
        <v>470</v>
      </c>
      <c r="ASL335" s="301" t="s">
        <v>470</v>
      </c>
      <c r="ASM335" s="301" t="s">
        <v>470</v>
      </c>
      <c r="ASN335" s="301" t="s">
        <v>470</v>
      </c>
      <c r="ASO335" s="301" t="s">
        <v>470</v>
      </c>
      <c r="ASP335" s="301" t="s">
        <v>470</v>
      </c>
      <c r="ASQ335" s="301" t="s">
        <v>470</v>
      </c>
      <c r="ASR335" s="301" t="s">
        <v>470</v>
      </c>
      <c r="ASS335" s="301" t="s">
        <v>470</v>
      </c>
      <c r="AST335" s="301" t="s">
        <v>470</v>
      </c>
      <c r="ASU335" s="301" t="s">
        <v>470</v>
      </c>
      <c r="ASV335" s="301" t="s">
        <v>470</v>
      </c>
      <c r="ASW335" s="301" t="s">
        <v>470</v>
      </c>
      <c r="ASX335" s="301" t="s">
        <v>470</v>
      </c>
      <c r="ASY335" s="301" t="s">
        <v>470</v>
      </c>
      <c r="ASZ335" s="301" t="s">
        <v>470</v>
      </c>
      <c r="ATA335" s="301" t="s">
        <v>470</v>
      </c>
      <c r="ATB335" s="301" t="s">
        <v>470</v>
      </c>
      <c r="ATC335" s="301" t="s">
        <v>470</v>
      </c>
      <c r="ATD335" s="301" t="s">
        <v>470</v>
      </c>
      <c r="ATE335" s="301" t="s">
        <v>470</v>
      </c>
      <c r="ATF335" s="301" t="s">
        <v>470</v>
      </c>
      <c r="ATG335" s="301" t="s">
        <v>470</v>
      </c>
      <c r="ATH335" s="301" t="s">
        <v>470</v>
      </c>
      <c r="ATI335" s="301" t="s">
        <v>470</v>
      </c>
      <c r="ATJ335" s="301" t="s">
        <v>470</v>
      </c>
      <c r="ATK335" s="301" t="s">
        <v>470</v>
      </c>
      <c r="ATL335" s="301" t="s">
        <v>470</v>
      </c>
      <c r="ATM335" s="301" t="s">
        <v>470</v>
      </c>
      <c r="ATN335" s="301" t="s">
        <v>470</v>
      </c>
      <c r="ATO335" s="301" t="s">
        <v>470</v>
      </c>
      <c r="ATP335" s="301" t="s">
        <v>470</v>
      </c>
      <c r="ATQ335" s="301" t="s">
        <v>470</v>
      </c>
      <c r="ATR335" s="301" t="s">
        <v>470</v>
      </c>
      <c r="ATS335" s="301" t="s">
        <v>470</v>
      </c>
      <c r="ATT335" s="301" t="s">
        <v>470</v>
      </c>
      <c r="ATU335" s="301" t="s">
        <v>470</v>
      </c>
      <c r="ATV335" s="301" t="s">
        <v>470</v>
      </c>
      <c r="ATW335" s="301" t="s">
        <v>470</v>
      </c>
      <c r="ATX335" s="301" t="s">
        <v>470</v>
      </c>
      <c r="ATY335" s="301" t="s">
        <v>470</v>
      </c>
      <c r="ATZ335" s="301" t="s">
        <v>470</v>
      </c>
      <c r="AUA335" s="301" t="s">
        <v>470</v>
      </c>
      <c r="AUB335" s="301" t="s">
        <v>470</v>
      </c>
      <c r="AUC335" s="301" t="s">
        <v>470</v>
      </c>
      <c r="AUD335" s="301" t="s">
        <v>470</v>
      </c>
      <c r="AUE335" s="301" t="s">
        <v>470</v>
      </c>
      <c r="AUF335" s="301" t="s">
        <v>470</v>
      </c>
      <c r="AUG335" s="301" t="s">
        <v>470</v>
      </c>
      <c r="AUH335" s="301" t="s">
        <v>470</v>
      </c>
      <c r="AUI335" s="301" t="s">
        <v>470</v>
      </c>
      <c r="AUJ335" s="301" t="s">
        <v>470</v>
      </c>
      <c r="AUK335" s="301" t="s">
        <v>470</v>
      </c>
      <c r="AUL335" s="301" t="s">
        <v>470</v>
      </c>
      <c r="AUM335" s="301" t="s">
        <v>470</v>
      </c>
      <c r="AUN335" s="301" t="s">
        <v>470</v>
      </c>
      <c r="AUO335" s="301" t="s">
        <v>470</v>
      </c>
      <c r="AUP335" s="301" t="s">
        <v>470</v>
      </c>
      <c r="AUQ335" s="301" t="s">
        <v>470</v>
      </c>
      <c r="AUR335" s="301" t="s">
        <v>470</v>
      </c>
      <c r="AUS335" s="301" t="s">
        <v>470</v>
      </c>
      <c r="AUT335" s="301" t="s">
        <v>470</v>
      </c>
      <c r="AUU335" s="301" t="s">
        <v>470</v>
      </c>
      <c r="AUV335" s="301" t="s">
        <v>470</v>
      </c>
      <c r="AUW335" s="301" t="s">
        <v>470</v>
      </c>
      <c r="AUX335" s="301" t="s">
        <v>470</v>
      </c>
      <c r="AUY335" s="301" t="s">
        <v>470</v>
      </c>
      <c r="AUZ335" s="301" t="s">
        <v>470</v>
      </c>
      <c r="AVA335" s="301" t="s">
        <v>470</v>
      </c>
      <c r="AVB335" s="301" t="s">
        <v>470</v>
      </c>
      <c r="AVC335" s="301" t="s">
        <v>470</v>
      </c>
      <c r="AVD335" s="301" t="s">
        <v>470</v>
      </c>
      <c r="AVE335" s="301" t="s">
        <v>470</v>
      </c>
      <c r="AVF335" s="301" t="s">
        <v>470</v>
      </c>
      <c r="AVG335" s="301" t="s">
        <v>470</v>
      </c>
      <c r="AVH335" s="301" t="s">
        <v>470</v>
      </c>
      <c r="AVI335" s="301" t="s">
        <v>470</v>
      </c>
      <c r="AVJ335" s="301" t="s">
        <v>470</v>
      </c>
      <c r="AVK335" s="301" t="s">
        <v>470</v>
      </c>
      <c r="AVL335" s="301" t="s">
        <v>470</v>
      </c>
      <c r="AVM335" s="301" t="s">
        <v>470</v>
      </c>
      <c r="AVN335" s="301" t="s">
        <v>470</v>
      </c>
      <c r="AVO335" s="301" t="s">
        <v>470</v>
      </c>
      <c r="AVP335" s="301" t="s">
        <v>470</v>
      </c>
      <c r="AVQ335" s="301" t="s">
        <v>470</v>
      </c>
      <c r="AVR335" s="301" t="s">
        <v>470</v>
      </c>
      <c r="AVS335" s="301" t="s">
        <v>470</v>
      </c>
      <c r="AVT335" s="301" t="s">
        <v>470</v>
      </c>
      <c r="AVU335" s="301" t="s">
        <v>470</v>
      </c>
      <c r="AVV335" s="301" t="s">
        <v>470</v>
      </c>
      <c r="AVW335" s="301" t="s">
        <v>470</v>
      </c>
      <c r="AVX335" s="301" t="s">
        <v>470</v>
      </c>
      <c r="AVY335" s="301" t="s">
        <v>470</v>
      </c>
      <c r="AVZ335" s="301" t="s">
        <v>470</v>
      </c>
      <c r="AWA335" s="301" t="s">
        <v>470</v>
      </c>
      <c r="AWB335" s="301" t="s">
        <v>470</v>
      </c>
      <c r="AWC335" s="301" t="s">
        <v>470</v>
      </c>
      <c r="AWD335" s="301" t="s">
        <v>470</v>
      </c>
      <c r="AWE335" s="301" t="s">
        <v>470</v>
      </c>
      <c r="AWF335" s="301" t="s">
        <v>470</v>
      </c>
      <c r="AWG335" s="301" t="s">
        <v>470</v>
      </c>
      <c r="AWH335" s="301" t="s">
        <v>470</v>
      </c>
      <c r="AWI335" s="301" t="s">
        <v>470</v>
      </c>
      <c r="AWJ335" s="301" t="s">
        <v>470</v>
      </c>
      <c r="AWK335" s="301" t="s">
        <v>470</v>
      </c>
      <c r="AWL335" s="301" t="s">
        <v>470</v>
      </c>
      <c r="AWM335" s="301" t="s">
        <v>470</v>
      </c>
      <c r="AWN335" s="301" t="s">
        <v>470</v>
      </c>
      <c r="AWO335" s="301" t="s">
        <v>470</v>
      </c>
      <c r="AWP335" s="301" t="s">
        <v>470</v>
      </c>
      <c r="AWQ335" s="301" t="s">
        <v>470</v>
      </c>
      <c r="AWR335" s="301" t="s">
        <v>470</v>
      </c>
      <c r="AWS335" s="301" t="s">
        <v>470</v>
      </c>
      <c r="AWT335" s="301" t="s">
        <v>470</v>
      </c>
      <c r="AWU335" s="301" t="s">
        <v>470</v>
      </c>
      <c r="AWV335" s="301" t="s">
        <v>470</v>
      </c>
      <c r="AWW335" s="301" t="s">
        <v>470</v>
      </c>
      <c r="AWX335" s="301" t="s">
        <v>470</v>
      </c>
      <c r="AWY335" s="301" t="s">
        <v>470</v>
      </c>
      <c r="AWZ335" s="301" t="s">
        <v>470</v>
      </c>
      <c r="AXA335" s="301" t="s">
        <v>470</v>
      </c>
      <c r="AXB335" s="301" t="s">
        <v>470</v>
      </c>
      <c r="AXC335" s="301" t="s">
        <v>470</v>
      </c>
      <c r="AXD335" s="301" t="s">
        <v>470</v>
      </c>
      <c r="AXE335" s="301" t="s">
        <v>470</v>
      </c>
      <c r="AXF335" s="301" t="s">
        <v>470</v>
      </c>
      <c r="AXG335" s="301" t="s">
        <v>470</v>
      </c>
      <c r="AXH335" s="301" t="s">
        <v>470</v>
      </c>
      <c r="AXI335" s="301" t="s">
        <v>470</v>
      </c>
      <c r="AXJ335" s="301" t="s">
        <v>470</v>
      </c>
      <c r="AXK335" s="301" t="s">
        <v>470</v>
      </c>
      <c r="AXL335" s="301" t="s">
        <v>470</v>
      </c>
      <c r="AXM335" s="301" t="s">
        <v>470</v>
      </c>
      <c r="AXN335" s="301" t="s">
        <v>470</v>
      </c>
      <c r="AXO335" s="301" t="s">
        <v>470</v>
      </c>
      <c r="AXP335" s="301" t="s">
        <v>470</v>
      </c>
      <c r="AXQ335" s="301" t="s">
        <v>470</v>
      </c>
      <c r="AXR335" s="301" t="s">
        <v>470</v>
      </c>
      <c r="AXS335" s="301" t="s">
        <v>470</v>
      </c>
      <c r="AXT335" s="301" t="s">
        <v>470</v>
      </c>
      <c r="AXU335" s="301" t="s">
        <v>470</v>
      </c>
      <c r="AXV335" s="301" t="s">
        <v>470</v>
      </c>
      <c r="AXW335" s="301" t="s">
        <v>470</v>
      </c>
      <c r="AXX335" s="301" t="s">
        <v>470</v>
      </c>
      <c r="AXY335" s="301" t="s">
        <v>470</v>
      </c>
      <c r="AXZ335" s="301" t="s">
        <v>470</v>
      </c>
      <c r="AYA335" s="301" t="s">
        <v>470</v>
      </c>
      <c r="AYB335" s="301" t="s">
        <v>470</v>
      </c>
      <c r="AYC335" s="301" t="s">
        <v>470</v>
      </c>
      <c r="AYD335" s="301" t="s">
        <v>470</v>
      </c>
      <c r="AYE335" s="301" t="s">
        <v>470</v>
      </c>
      <c r="AYF335" s="301" t="s">
        <v>470</v>
      </c>
      <c r="AYG335" s="301" t="s">
        <v>470</v>
      </c>
      <c r="AYH335" s="301" t="s">
        <v>470</v>
      </c>
      <c r="AYI335" s="301" t="s">
        <v>470</v>
      </c>
      <c r="AYJ335" s="301" t="s">
        <v>470</v>
      </c>
      <c r="AYK335" s="301" t="s">
        <v>470</v>
      </c>
      <c r="AYL335" s="301" t="s">
        <v>470</v>
      </c>
      <c r="AYM335" s="301" t="s">
        <v>470</v>
      </c>
      <c r="AYN335" s="301" t="s">
        <v>470</v>
      </c>
      <c r="AYO335" s="301" t="s">
        <v>470</v>
      </c>
      <c r="AYP335" s="301" t="s">
        <v>470</v>
      </c>
      <c r="AYQ335" s="301" t="s">
        <v>470</v>
      </c>
      <c r="AYR335" s="301" t="s">
        <v>470</v>
      </c>
      <c r="AYS335" s="301" t="s">
        <v>470</v>
      </c>
      <c r="AYT335" s="301" t="s">
        <v>470</v>
      </c>
      <c r="AYU335" s="301" t="s">
        <v>470</v>
      </c>
      <c r="AYV335" s="301" t="s">
        <v>470</v>
      </c>
      <c r="AYW335" s="301" t="s">
        <v>470</v>
      </c>
      <c r="AYX335" s="301" t="s">
        <v>470</v>
      </c>
      <c r="AYY335" s="301" t="s">
        <v>470</v>
      </c>
      <c r="AYZ335" s="301" t="s">
        <v>470</v>
      </c>
      <c r="AZA335" s="301" t="s">
        <v>470</v>
      </c>
      <c r="AZB335" s="301" t="s">
        <v>470</v>
      </c>
      <c r="AZC335" s="301" t="s">
        <v>470</v>
      </c>
      <c r="AZD335" s="301" t="s">
        <v>470</v>
      </c>
      <c r="AZE335" s="301" t="s">
        <v>470</v>
      </c>
      <c r="AZF335" s="301" t="s">
        <v>470</v>
      </c>
      <c r="AZG335" s="301" t="s">
        <v>470</v>
      </c>
      <c r="AZH335" s="301" t="s">
        <v>470</v>
      </c>
      <c r="AZI335" s="301" t="s">
        <v>470</v>
      </c>
      <c r="AZJ335" s="301" t="s">
        <v>470</v>
      </c>
      <c r="AZK335" s="301" t="s">
        <v>470</v>
      </c>
      <c r="AZL335" s="301" t="s">
        <v>470</v>
      </c>
      <c r="AZM335" s="301" t="s">
        <v>470</v>
      </c>
      <c r="AZN335" s="301" t="s">
        <v>470</v>
      </c>
      <c r="AZO335" s="301" t="s">
        <v>470</v>
      </c>
      <c r="AZP335" s="301" t="s">
        <v>470</v>
      </c>
      <c r="AZQ335" s="301" t="s">
        <v>470</v>
      </c>
      <c r="AZR335" s="301" t="s">
        <v>470</v>
      </c>
      <c r="AZS335" s="301" t="s">
        <v>470</v>
      </c>
      <c r="AZT335" s="301" t="s">
        <v>470</v>
      </c>
      <c r="AZU335" s="301" t="s">
        <v>470</v>
      </c>
      <c r="AZV335" s="301" t="s">
        <v>470</v>
      </c>
      <c r="AZW335" s="301" t="s">
        <v>470</v>
      </c>
      <c r="AZX335" s="301" t="s">
        <v>470</v>
      </c>
      <c r="AZY335" s="301" t="s">
        <v>470</v>
      </c>
      <c r="AZZ335" s="301" t="s">
        <v>470</v>
      </c>
      <c r="BAA335" s="301" t="s">
        <v>470</v>
      </c>
      <c r="BAB335" s="301" t="s">
        <v>470</v>
      </c>
      <c r="BAC335" s="301" t="s">
        <v>470</v>
      </c>
      <c r="BAD335" s="301" t="s">
        <v>470</v>
      </c>
      <c r="BAE335" s="301" t="s">
        <v>470</v>
      </c>
      <c r="BAF335" s="301" t="s">
        <v>470</v>
      </c>
      <c r="BAG335" s="301" t="s">
        <v>470</v>
      </c>
      <c r="BAH335" s="301" t="s">
        <v>470</v>
      </c>
      <c r="BAI335" s="301" t="s">
        <v>470</v>
      </c>
      <c r="BAJ335" s="301" t="s">
        <v>470</v>
      </c>
      <c r="BAK335" s="301" t="s">
        <v>470</v>
      </c>
      <c r="BAL335" s="301" t="s">
        <v>470</v>
      </c>
      <c r="BAM335" s="301" t="s">
        <v>470</v>
      </c>
      <c r="BAN335" s="301" t="s">
        <v>470</v>
      </c>
      <c r="BAO335" s="301" t="s">
        <v>470</v>
      </c>
      <c r="BAP335" s="301" t="s">
        <v>470</v>
      </c>
      <c r="BAQ335" s="301" t="s">
        <v>470</v>
      </c>
      <c r="BAR335" s="301" t="s">
        <v>470</v>
      </c>
      <c r="BAS335" s="301" t="s">
        <v>470</v>
      </c>
      <c r="BAT335" s="301" t="s">
        <v>470</v>
      </c>
      <c r="BAU335" s="301" t="s">
        <v>470</v>
      </c>
      <c r="BAV335" s="301" t="s">
        <v>470</v>
      </c>
      <c r="BAW335" s="301" t="s">
        <v>470</v>
      </c>
      <c r="BAX335" s="301" t="s">
        <v>470</v>
      </c>
      <c r="BAY335" s="301" t="s">
        <v>470</v>
      </c>
      <c r="BAZ335" s="301" t="s">
        <v>470</v>
      </c>
      <c r="BBA335" s="301" t="s">
        <v>470</v>
      </c>
      <c r="BBB335" s="301" t="s">
        <v>470</v>
      </c>
      <c r="BBC335" s="301" t="s">
        <v>470</v>
      </c>
      <c r="BBD335" s="301" t="s">
        <v>470</v>
      </c>
      <c r="BBE335" s="301" t="s">
        <v>470</v>
      </c>
      <c r="BBF335" s="301" t="s">
        <v>470</v>
      </c>
      <c r="BBG335" s="301" t="s">
        <v>470</v>
      </c>
      <c r="BBH335" s="301" t="s">
        <v>470</v>
      </c>
      <c r="BBI335" s="301" t="s">
        <v>470</v>
      </c>
      <c r="BBJ335" s="301" t="s">
        <v>470</v>
      </c>
      <c r="BBK335" s="301" t="s">
        <v>470</v>
      </c>
      <c r="BBL335" s="301" t="s">
        <v>470</v>
      </c>
      <c r="BBM335" s="301" t="s">
        <v>470</v>
      </c>
      <c r="BBN335" s="301" t="s">
        <v>470</v>
      </c>
      <c r="BBO335" s="301" t="s">
        <v>470</v>
      </c>
      <c r="BBP335" s="301" t="s">
        <v>470</v>
      </c>
      <c r="BBQ335" s="301" t="s">
        <v>470</v>
      </c>
      <c r="BBR335" s="301" t="s">
        <v>470</v>
      </c>
      <c r="BBS335" s="301" t="s">
        <v>470</v>
      </c>
      <c r="BBT335" s="301" t="s">
        <v>470</v>
      </c>
      <c r="BBU335" s="301" t="s">
        <v>470</v>
      </c>
      <c r="BBV335" s="301" t="s">
        <v>470</v>
      </c>
      <c r="BBW335" s="301" t="s">
        <v>470</v>
      </c>
      <c r="BBX335" s="301" t="s">
        <v>470</v>
      </c>
      <c r="BBY335" s="301" t="s">
        <v>470</v>
      </c>
      <c r="BBZ335" s="301" t="s">
        <v>470</v>
      </c>
      <c r="BCA335" s="301" t="s">
        <v>470</v>
      </c>
      <c r="BCB335" s="301" t="s">
        <v>470</v>
      </c>
      <c r="BCC335" s="301" t="s">
        <v>470</v>
      </c>
      <c r="BCD335" s="301" t="s">
        <v>470</v>
      </c>
      <c r="BCE335" s="301" t="s">
        <v>470</v>
      </c>
      <c r="BCF335" s="301" t="s">
        <v>470</v>
      </c>
      <c r="BCG335" s="301" t="s">
        <v>470</v>
      </c>
      <c r="BCH335" s="301" t="s">
        <v>470</v>
      </c>
      <c r="BCI335" s="301" t="s">
        <v>470</v>
      </c>
      <c r="BCJ335" s="301" t="s">
        <v>470</v>
      </c>
      <c r="BCK335" s="301" t="s">
        <v>470</v>
      </c>
      <c r="BCL335" s="301" t="s">
        <v>470</v>
      </c>
      <c r="BCM335" s="301" t="s">
        <v>470</v>
      </c>
      <c r="BCN335" s="301" t="s">
        <v>470</v>
      </c>
      <c r="BCO335" s="301" t="s">
        <v>470</v>
      </c>
      <c r="BCP335" s="301" t="s">
        <v>470</v>
      </c>
      <c r="BCQ335" s="301" t="s">
        <v>470</v>
      </c>
      <c r="BCR335" s="301" t="s">
        <v>470</v>
      </c>
      <c r="BCS335" s="301" t="s">
        <v>470</v>
      </c>
      <c r="BCT335" s="301" t="s">
        <v>470</v>
      </c>
      <c r="BCU335" s="301" t="s">
        <v>470</v>
      </c>
      <c r="BCV335" s="301" t="s">
        <v>470</v>
      </c>
      <c r="BCW335" s="301" t="s">
        <v>470</v>
      </c>
      <c r="BCX335" s="301" t="s">
        <v>470</v>
      </c>
      <c r="BCY335" s="301" t="s">
        <v>470</v>
      </c>
      <c r="BCZ335" s="301" t="s">
        <v>470</v>
      </c>
      <c r="BDA335" s="301" t="s">
        <v>470</v>
      </c>
      <c r="BDB335" s="301" t="s">
        <v>470</v>
      </c>
      <c r="BDC335" s="301" t="s">
        <v>470</v>
      </c>
      <c r="BDD335" s="301" t="s">
        <v>470</v>
      </c>
      <c r="BDE335" s="301" t="s">
        <v>470</v>
      </c>
      <c r="BDF335" s="301" t="s">
        <v>470</v>
      </c>
      <c r="BDG335" s="301" t="s">
        <v>470</v>
      </c>
      <c r="BDH335" s="301" t="s">
        <v>470</v>
      </c>
      <c r="BDI335" s="301" t="s">
        <v>470</v>
      </c>
      <c r="BDJ335" s="301" t="s">
        <v>470</v>
      </c>
      <c r="BDK335" s="301" t="s">
        <v>470</v>
      </c>
      <c r="BDL335" s="301" t="s">
        <v>470</v>
      </c>
      <c r="BDM335" s="301" t="s">
        <v>470</v>
      </c>
      <c r="BDN335" s="301" t="s">
        <v>470</v>
      </c>
      <c r="BDO335" s="301" t="s">
        <v>470</v>
      </c>
      <c r="BDP335" s="301" t="s">
        <v>470</v>
      </c>
      <c r="BDQ335" s="301" t="s">
        <v>470</v>
      </c>
      <c r="BDR335" s="301" t="s">
        <v>470</v>
      </c>
      <c r="BDS335" s="301" t="s">
        <v>470</v>
      </c>
      <c r="BDT335" s="301" t="s">
        <v>470</v>
      </c>
      <c r="BDU335" s="301" t="s">
        <v>470</v>
      </c>
      <c r="BDV335" s="301" t="s">
        <v>470</v>
      </c>
      <c r="BDW335" s="301" t="s">
        <v>470</v>
      </c>
      <c r="BDX335" s="301" t="s">
        <v>470</v>
      </c>
      <c r="BDY335" s="301" t="s">
        <v>470</v>
      </c>
      <c r="BDZ335" s="301" t="s">
        <v>470</v>
      </c>
      <c r="BEA335" s="301" t="s">
        <v>470</v>
      </c>
      <c r="BEB335" s="301" t="s">
        <v>470</v>
      </c>
      <c r="BEC335" s="301" t="s">
        <v>470</v>
      </c>
      <c r="BED335" s="301" t="s">
        <v>470</v>
      </c>
      <c r="BEE335" s="301" t="s">
        <v>470</v>
      </c>
      <c r="BEF335" s="301" t="s">
        <v>470</v>
      </c>
      <c r="BEG335" s="301" t="s">
        <v>470</v>
      </c>
      <c r="BEH335" s="301" t="s">
        <v>470</v>
      </c>
      <c r="BEI335" s="301" t="s">
        <v>470</v>
      </c>
      <c r="BEJ335" s="301" t="s">
        <v>470</v>
      </c>
      <c r="BEK335" s="301" t="s">
        <v>470</v>
      </c>
      <c r="BEL335" s="301" t="s">
        <v>470</v>
      </c>
      <c r="BEM335" s="301" t="s">
        <v>470</v>
      </c>
      <c r="BEN335" s="301" t="s">
        <v>470</v>
      </c>
      <c r="BEO335" s="301" t="s">
        <v>470</v>
      </c>
      <c r="BEP335" s="301" t="s">
        <v>470</v>
      </c>
      <c r="BEQ335" s="301" t="s">
        <v>470</v>
      </c>
      <c r="BER335" s="301" t="s">
        <v>470</v>
      </c>
      <c r="BES335" s="301" t="s">
        <v>470</v>
      </c>
      <c r="BET335" s="301" t="s">
        <v>470</v>
      </c>
      <c r="BEU335" s="301" t="s">
        <v>470</v>
      </c>
      <c r="BEV335" s="301" t="s">
        <v>470</v>
      </c>
      <c r="BEW335" s="301" t="s">
        <v>470</v>
      </c>
      <c r="BEX335" s="301" t="s">
        <v>470</v>
      </c>
      <c r="BEY335" s="301" t="s">
        <v>470</v>
      </c>
      <c r="BEZ335" s="301" t="s">
        <v>470</v>
      </c>
      <c r="BFA335" s="301" t="s">
        <v>470</v>
      </c>
      <c r="BFB335" s="301" t="s">
        <v>470</v>
      </c>
      <c r="BFC335" s="301" t="s">
        <v>470</v>
      </c>
      <c r="BFD335" s="301" t="s">
        <v>470</v>
      </c>
      <c r="BFE335" s="301" t="s">
        <v>470</v>
      </c>
      <c r="BFF335" s="301" t="s">
        <v>470</v>
      </c>
      <c r="BFG335" s="301" t="s">
        <v>470</v>
      </c>
      <c r="BFH335" s="301" t="s">
        <v>470</v>
      </c>
      <c r="BFI335" s="301" t="s">
        <v>470</v>
      </c>
      <c r="BFJ335" s="301" t="s">
        <v>470</v>
      </c>
      <c r="BFK335" s="301" t="s">
        <v>470</v>
      </c>
      <c r="BFL335" s="301" t="s">
        <v>470</v>
      </c>
      <c r="BFM335" s="301" t="s">
        <v>470</v>
      </c>
      <c r="BFN335" s="301" t="s">
        <v>470</v>
      </c>
      <c r="BFO335" s="301" t="s">
        <v>470</v>
      </c>
      <c r="BFP335" s="301" t="s">
        <v>470</v>
      </c>
      <c r="BFQ335" s="301" t="s">
        <v>470</v>
      </c>
      <c r="BFR335" s="301" t="s">
        <v>470</v>
      </c>
      <c r="BFS335" s="301" t="s">
        <v>470</v>
      </c>
      <c r="BFT335" s="301" t="s">
        <v>470</v>
      </c>
      <c r="BFU335" s="301" t="s">
        <v>470</v>
      </c>
      <c r="BFV335" s="301" t="s">
        <v>470</v>
      </c>
      <c r="BFW335" s="301" t="s">
        <v>470</v>
      </c>
      <c r="BFX335" s="301" t="s">
        <v>470</v>
      </c>
      <c r="BFY335" s="301" t="s">
        <v>470</v>
      </c>
      <c r="BFZ335" s="301" t="s">
        <v>470</v>
      </c>
      <c r="BGA335" s="301" t="s">
        <v>470</v>
      </c>
      <c r="BGB335" s="301" t="s">
        <v>470</v>
      </c>
      <c r="BGC335" s="301" t="s">
        <v>470</v>
      </c>
      <c r="BGD335" s="301" t="s">
        <v>470</v>
      </c>
      <c r="BGE335" s="301" t="s">
        <v>470</v>
      </c>
      <c r="BGF335" s="301" t="s">
        <v>470</v>
      </c>
      <c r="BGG335" s="301" t="s">
        <v>470</v>
      </c>
      <c r="BGH335" s="301" t="s">
        <v>470</v>
      </c>
      <c r="BGI335" s="301" t="s">
        <v>470</v>
      </c>
      <c r="BGJ335" s="301" t="s">
        <v>470</v>
      </c>
      <c r="BGK335" s="301" t="s">
        <v>470</v>
      </c>
      <c r="BGL335" s="301" t="s">
        <v>470</v>
      </c>
      <c r="BGM335" s="301" t="s">
        <v>470</v>
      </c>
      <c r="BGN335" s="301" t="s">
        <v>470</v>
      </c>
      <c r="BGO335" s="301" t="s">
        <v>470</v>
      </c>
      <c r="BGP335" s="301" t="s">
        <v>470</v>
      </c>
      <c r="BGQ335" s="301" t="s">
        <v>470</v>
      </c>
      <c r="BGR335" s="301" t="s">
        <v>470</v>
      </c>
      <c r="BGS335" s="301" t="s">
        <v>470</v>
      </c>
      <c r="BGT335" s="301" t="s">
        <v>470</v>
      </c>
      <c r="BGU335" s="301" t="s">
        <v>470</v>
      </c>
      <c r="BGV335" s="301" t="s">
        <v>470</v>
      </c>
      <c r="BGW335" s="301" t="s">
        <v>470</v>
      </c>
      <c r="BGX335" s="301" t="s">
        <v>470</v>
      </c>
      <c r="BGY335" s="301" t="s">
        <v>470</v>
      </c>
      <c r="BGZ335" s="301" t="s">
        <v>470</v>
      </c>
      <c r="BHA335" s="301" t="s">
        <v>470</v>
      </c>
      <c r="BHB335" s="301" t="s">
        <v>470</v>
      </c>
      <c r="BHC335" s="301" t="s">
        <v>470</v>
      </c>
      <c r="BHD335" s="301" t="s">
        <v>470</v>
      </c>
      <c r="BHE335" s="301" t="s">
        <v>470</v>
      </c>
      <c r="BHF335" s="301" t="s">
        <v>470</v>
      </c>
      <c r="BHG335" s="301" t="s">
        <v>470</v>
      </c>
      <c r="BHH335" s="301" t="s">
        <v>470</v>
      </c>
      <c r="BHI335" s="301" t="s">
        <v>470</v>
      </c>
      <c r="BHJ335" s="301" t="s">
        <v>470</v>
      </c>
      <c r="BHK335" s="301" t="s">
        <v>470</v>
      </c>
      <c r="BHL335" s="301" t="s">
        <v>470</v>
      </c>
      <c r="BHM335" s="301" t="s">
        <v>470</v>
      </c>
      <c r="BHN335" s="301" t="s">
        <v>470</v>
      </c>
      <c r="BHO335" s="301" t="s">
        <v>470</v>
      </c>
      <c r="BHP335" s="301" t="s">
        <v>470</v>
      </c>
      <c r="BHQ335" s="301" t="s">
        <v>470</v>
      </c>
      <c r="BHR335" s="301" t="s">
        <v>470</v>
      </c>
      <c r="BHS335" s="301" t="s">
        <v>470</v>
      </c>
      <c r="BHT335" s="301" t="s">
        <v>470</v>
      </c>
      <c r="BHU335" s="301" t="s">
        <v>470</v>
      </c>
      <c r="BHV335" s="301" t="s">
        <v>470</v>
      </c>
      <c r="BHW335" s="301" t="s">
        <v>470</v>
      </c>
      <c r="BHX335" s="301" t="s">
        <v>470</v>
      </c>
      <c r="BHY335" s="301" t="s">
        <v>470</v>
      </c>
      <c r="BHZ335" s="301" t="s">
        <v>470</v>
      </c>
      <c r="BIA335" s="301" t="s">
        <v>470</v>
      </c>
      <c r="BIB335" s="301" t="s">
        <v>470</v>
      </c>
      <c r="BIC335" s="301" t="s">
        <v>470</v>
      </c>
      <c r="BID335" s="301" t="s">
        <v>470</v>
      </c>
      <c r="BIE335" s="301" t="s">
        <v>470</v>
      </c>
      <c r="BIF335" s="301" t="s">
        <v>470</v>
      </c>
      <c r="BIG335" s="301" t="s">
        <v>470</v>
      </c>
      <c r="BIH335" s="301" t="s">
        <v>470</v>
      </c>
      <c r="BII335" s="301" t="s">
        <v>470</v>
      </c>
      <c r="BIJ335" s="301" t="s">
        <v>470</v>
      </c>
      <c r="BIK335" s="301" t="s">
        <v>470</v>
      </c>
      <c r="BIL335" s="301" t="s">
        <v>470</v>
      </c>
      <c r="BIM335" s="301" t="s">
        <v>470</v>
      </c>
      <c r="BIN335" s="301" t="s">
        <v>470</v>
      </c>
      <c r="BIO335" s="301" t="s">
        <v>470</v>
      </c>
      <c r="BIP335" s="301" t="s">
        <v>470</v>
      </c>
      <c r="BIQ335" s="301" t="s">
        <v>470</v>
      </c>
      <c r="BIR335" s="301" t="s">
        <v>470</v>
      </c>
      <c r="BIS335" s="301" t="s">
        <v>470</v>
      </c>
      <c r="BIT335" s="301" t="s">
        <v>470</v>
      </c>
      <c r="BIU335" s="301" t="s">
        <v>470</v>
      </c>
      <c r="BIV335" s="301" t="s">
        <v>470</v>
      </c>
      <c r="BIW335" s="301" t="s">
        <v>470</v>
      </c>
      <c r="BIX335" s="301" t="s">
        <v>470</v>
      </c>
      <c r="BIY335" s="301" t="s">
        <v>470</v>
      </c>
      <c r="BIZ335" s="301" t="s">
        <v>470</v>
      </c>
      <c r="BJA335" s="301" t="s">
        <v>470</v>
      </c>
      <c r="BJB335" s="301" t="s">
        <v>470</v>
      </c>
      <c r="BJC335" s="301" t="s">
        <v>470</v>
      </c>
      <c r="BJD335" s="301" t="s">
        <v>470</v>
      </c>
      <c r="BJE335" s="301" t="s">
        <v>470</v>
      </c>
      <c r="BJF335" s="301" t="s">
        <v>470</v>
      </c>
      <c r="BJG335" s="301" t="s">
        <v>470</v>
      </c>
      <c r="BJH335" s="301" t="s">
        <v>470</v>
      </c>
      <c r="BJI335" s="301" t="s">
        <v>470</v>
      </c>
      <c r="BJJ335" s="301" t="s">
        <v>470</v>
      </c>
      <c r="BJK335" s="301" t="s">
        <v>470</v>
      </c>
      <c r="BJL335" s="301" t="s">
        <v>470</v>
      </c>
      <c r="BJM335" s="301" t="s">
        <v>470</v>
      </c>
      <c r="BJN335" s="301" t="s">
        <v>470</v>
      </c>
      <c r="BJO335" s="301" t="s">
        <v>470</v>
      </c>
      <c r="BJP335" s="301" t="s">
        <v>470</v>
      </c>
      <c r="BJQ335" s="301" t="s">
        <v>470</v>
      </c>
      <c r="BJR335" s="301" t="s">
        <v>470</v>
      </c>
      <c r="BJS335" s="301" t="s">
        <v>470</v>
      </c>
      <c r="BJT335" s="301" t="s">
        <v>470</v>
      </c>
      <c r="BJU335" s="301" t="s">
        <v>470</v>
      </c>
      <c r="BJV335" s="301" t="s">
        <v>470</v>
      </c>
      <c r="BJW335" s="301" t="s">
        <v>470</v>
      </c>
      <c r="BJX335" s="301" t="s">
        <v>470</v>
      </c>
      <c r="BJY335" s="301" t="s">
        <v>470</v>
      </c>
      <c r="BJZ335" s="301" t="s">
        <v>470</v>
      </c>
      <c r="BKA335" s="301" t="s">
        <v>470</v>
      </c>
      <c r="BKB335" s="301" t="s">
        <v>470</v>
      </c>
      <c r="BKC335" s="301" t="s">
        <v>470</v>
      </c>
      <c r="BKD335" s="301" t="s">
        <v>470</v>
      </c>
      <c r="BKE335" s="301" t="s">
        <v>470</v>
      </c>
      <c r="BKF335" s="301" t="s">
        <v>470</v>
      </c>
      <c r="BKG335" s="301" t="s">
        <v>470</v>
      </c>
      <c r="BKH335" s="301" t="s">
        <v>470</v>
      </c>
      <c r="BKI335" s="301" t="s">
        <v>470</v>
      </c>
      <c r="BKJ335" s="301" t="s">
        <v>470</v>
      </c>
      <c r="BKK335" s="301" t="s">
        <v>470</v>
      </c>
      <c r="BKL335" s="301" t="s">
        <v>470</v>
      </c>
      <c r="BKM335" s="301" t="s">
        <v>470</v>
      </c>
      <c r="BKN335" s="301" t="s">
        <v>470</v>
      </c>
      <c r="BKO335" s="301" t="s">
        <v>470</v>
      </c>
      <c r="BKP335" s="301" t="s">
        <v>470</v>
      </c>
      <c r="BKQ335" s="301" t="s">
        <v>470</v>
      </c>
      <c r="BKR335" s="301" t="s">
        <v>470</v>
      </c>
      <c r="BKS335" s="301" t="s">
        <v>470</v>
      </c>
      <c r="BKT335" s="301" t="s">
        <v>470</v>
      </c>
      <c r="BKU335" s="301" t="s">
        <v>470</v>
      </c>
      <c r="BKV335" s="301" t="s">
        <v>470</v>
      </c>
      <c r="BKW335" s="301" t="s">
        <v>470</v>
      </c>
      <c r="BKX335" s="301" t="s">
        <v>470</v>
      </c>
      <c r="BKY335" s="301" t="s">
        <v>470</v>
      </c>
      <c r="BKZ335" s="301" t="s">
        <v>470</v>
      </c>
      <c r="BLA335" s="301" t="s">
        <v>470</v>
      </c>
      <c r="BLB335" s="301" t="s">
        <v>470</v>
      </c>
      <c r="BLC335" s="301" t="s">
        <v>470</v>
      </c>
      <c r="BLD335" s="301" t="s">
        <v>470</v>
      </c>
      <c r="BLE335" s="301" t="s">
        <v>470</v>
      </c>
      <c r="BLF335" s="301" t="s">
        <v>470</v>
      </c>
      <c r="BLG335" s="301" t="s">
        <v>470</v>
      </c>
      <c r="BLH335" s="301" t="s">
        <v>470</v>
      </c>
      <c r="BLI335" s="301" t="s">
        <v>470</v>
      </c>
      <c r="BLJ335" s="301" t="s">
        <v>470</v>
      </c>
      <c r="BLK335" s="301" t="s">
        <v>470</v>
      </c>
      <c r="BLL335" s="301" t="s">
        <v>470</v>
      </c>
      <c r="BLM335" s="301" t="s">
        <v>470</v>
      </c>
      <c r="BLN335" s="301" t="s">
        <v>470</v>
      </c>
      <c r="BLO335" s="301" t="s">
        <v>470</v>
      </c>
      <c r="BLP335" s="301" t="s">
        <v>470</v>
      </c>
      <c r="BLQ335" s="301" t="s">
        <v>470</v>
      </c>
      <c r="BLR335" s="301" t="s">
        <v>470</v>
      </c>
      <c r="BLS335" s="301" t="s">
        <v>470</v>
      </c>
      <c r="BLT335" s="301" t="s">
        <v>470</v>
      </c>
      <c r="BLU335" s="301" t="s">
        <v>470</v>
      </c>
      <c r="BLV335" s="301" t="s">
        <v>470</v>
      </c>
      <c r="BLW335" s="301" t="s">
        <v>470</v>
      </c>
      <c r="BLX335" s="301" t="s">
        <v>470</v>
      </c>
      <c r="BLY335" s="301" t="s">
        <v>470</v>
      </c>
      <c r="BLZ335" s="301" t="s">
        <v>470</v>
      </c>
      <c r="BMA335" s="301" t="s">
        <v>470</v>
      </c>
      <c r="BMB335" s="301" t="s">
        <v>470</v>
      </c>
      <c r="BMC335" s="301" t="s">
        <v>470</v>
      </c>
      <c r="BMD335" s="301" t="s">
        <v>470</v>
      </c>
      <c r="BME335" s="301" t="s">
        <v>470</v>
      </c>
      <c r="BMF335" s="301" t="s">
        <v>470</v>
      </c>
      <c r="BMG335" s="301" t="s">
        <v>470</v>
      </c>
      <c r="BMH335" s="301" t="s">
        <v>470</v>
      </c>
      <c r="BMI335" s="301" t="s">
        <v>470</v>
      </c>
      <c r="BMJ335" s="301" t="s">
        <v>470</v>
      </c>
      <c r="BMK335" s="301" t="s">
        <v>470</v>
      </c>
      <c r="BML335" s="301" t="s">
        <v>470</v>
      </c>
      <c r="BMM335" s="301" t="s">
        <v>470</v>
      </c>
      <c r="BMN335" s="301" t="s">
        <v>470</v>
      </c>
      <c r="BMO335" s="301" t="s">
        <v>470</v>
      </c>
      <c r="BMP335" s="301" t="s">
        <v>470</v>
      </c>
      <c r="BMQ335" s="301" t="s">
        <v>470</v>
      </c>
      <c r="BMR335" s="301" t="s">
        <v>470</v>
      </c>
      <c r="BMS335" s="301" t="s">
        <v>470</v>
      </c>
      <c r="BMT335" s="301" t="s">
        <v>470</v>
      </c>
      <c r="BMU335" s="301" t="s">
        <v>470</v>
      </c>
      <c r="BMV335" s="301" t="s">
        <v>470</v>
      </c>
      <c r="BMW335" s="301" t="s">
        <v>470</v>
      </c>
      <c r="BMX335" s="301" t="s">
        <v>470</v>
      </c>
      <c r="BMY335" s="301" t="s">
        <v>470</v>
      </c>
      <c r="BMZ335" s="301" t="s">
        <v>470</v>
      </c>
      <c r="BNA335" s="301" t="s">
        <v>470</v>
      </c>
      <c r="BNB335" s="301" t="s">
        <v>470</v>
      </c>
      <c r="BNC335" s="301" t="s">
        <v>470</v>
      </c>
      <c r="BND335" s="301" t="s">
        <v>470</v>
      </c>
      <c r="BNE335" s="301" t="s">
        <v>470</v>
      </c>
      <c r="BNF335" s="301" t="s">
        <v>470</v>
      </c>
      <c r="BNG335" s="301" t="s">
        <v>470</v>
      </c>
      <c r="BNH335" s="301" t="s">
        <v>470</v>
      </c>
      <c r="BNI335" s="301" t="s">
        <v>470</v>
      </c>
      <c r="BNJ335" s="301" t="s">
        <v>470</v>
      </c>
      <c r="BNK335" s="301" t="s">
        <v>470</v>
      </c>
      <c r="BNL335" s="301" t="s">
        <v>470</v>
      </c>
      <c r="BNM335" s="301" t="s">
        <v>470</v>
      </c>
      <c r="BNN335" s="301" t="s">
        <v>470</v>
      </c>
      <c r="BNO335" s="301" t="s">
        <v>470</v>
      </c>
      <c r="BNP335" s="301" t="s">
        <v>470</v>
      </c>
      <c r="BNQ335" s="301" t="s">
        <v>470</v>
      </c>
      <c r="BNR335" s="301" t="s">
        <v>470</v>
      </c>
      <c r="BNS335" s="301" t="s">
        <v>470</v>
      </c>
      <c r="BNT335" s="301" t="s">
        <v>470</v>
      </c>
      <c r="BNU335" s="301" t="s">
        <v>470</v>
      </c>
      <c r="BNV335" s="301" t="s">
        <v>470</v>
      </c>
      <c r="BNW335" s="301" t="s">
        <v>470</v>
      </c>
      <c r="BNX335" s="301" t="s">
        <v>470</v>
      </c>
      <c r="BNY335" s="301" t="s">
        <v>470</v>
      </c>
      <c r="BNZ335" s="301" t="s">
        <v>470</v>
      </c>
      <c r="BOA335" s="301" t="s">
        <v>470</v>
      </c>
      <c r="BOB335" s="301" t="s">
        <v>470</v>
      </c>
      <c r="BOC335" s="301" t="s">
        <v>470</v>
      </c>
      <c r="BOD335" s="301" t="s">
        <v>470</v>
      </c>
      <c r="BOE335" s="301" t="s">
        <v>470</v>
      </c>
      <c r="BOF335" s="301" t="s">
        <v>470</v>
      </c>
      <c r="BOG335" s="301" t="s">
        <v>470</v>
      </c>
      <c r="BOH335" s="301" t="s">
        <v>470</v>
      </c>
      <c r="BOI335" s="301" t="s">
        <v>470</v>
      </c>
      <c r="BOJ335" s="301" t="s">
        <v>470</v>
      </c>
      <c r="BOK335" s="301" t="s">
        <v>470</v>
      </c>
      <c r="BOL335" s="301" t="s">
        <v>470</v>
      </c>
      <c r="BOM335" s="301" t="s">
        <v>470</v>
      </c>
      <c r="BON335" s="301" t="s">
        <v>470</v>
      </c>
      <c r="BOO335" s="301" t="s">
        <v>470</v>
      </c>
      <c r="BOP335" s="301" t="s">
        <v>470</v>
      </c>
      <c r="BOQ335" s="301" t="s">
        <v>470</v>
      </c>
      <c r="BOR335" s="301" t="s">
        <v>470</v>
      </c>
      <c r="BOS335" s="301" t="s">
        <v>470</v>
      </c>
      <c r="BOT335" s="301" t="s">
        <v>470</v>
      </c>
      <c r="BOU335" s="301" t="s">
        <v>470</v>
      </c>
      <c r="BOV335" s="301" t="s">
        <v>470</v>
      </c>
      <c r="BOW335" s="301" t="s">
        <v>470</v>
      </c>
      <c r="BOX335" s="301" t="s">
        <v>470</v>
      </c>
      <c r="BOY335" s="301" t="s">
        <v>470</v>
      </c>
      <c r="BOZ335" s="301" t="s">
        <v>470</v>
      </c>
      <c r="BPA335" s="301" t="s">
        <v>470</v>
      </c>
      <c r="BPB335" s="301" t="s">
        <v>470</v>
      </c>
      <c r="BPC335" s="301" t="s">
        <v>470</v>
      </c>
      <c r="BPD335" s="301" t="s">
        <v>470</v>
      </c>
      <c r="BPE335" s="301" t="s">
        <v>470</v>
      </c>
      <c r="BPF335" s="301" t="s">
        <v>470</v>
      </c>
      <c r="BPG335" s="301" t="s">
        <v>470</v>
      </c>
      <c r="BPH335" s="301" t="s">
        <v>470</v>
      </c>
      <c r="BPI335" s="301" t="s">
        <v>470</v>
      </c>
      <c r="BPJ335" s="301" t="s">
        <v>470</v>
      </c>
      <c r="BPK335" s="301" t="s">
        <v>470</v>
      </c>
      <c r="BPL335" s="301" t="s">
        <v>470</v>
      </c>
      <c r="BPM335" s="301" t="s">
        <v>470</v>
      </c>
      <c r="BPN335" s="301" t="s">
        <v>470</v>
      </c>
      <c r="BPO335" s="301" t="s">
        <v>470</v>
      </c>
      <c r="BPP335" s="301" t="s">
        <v>470</v>
      </c>
      <c r="BPQ335" s="301" t="s">
        <v>470</v>
      </c>
      <c r="BPR335" s="301" t="s">
        <v>470</v>
      </c>
      <c r="BPS335" s="301" t="s">
        <v>470</v>
      </c>
      <c r="BPT335" s="301" t="s">
        <v>470</v>
      </c>
      <c r="BPU335" s="301" t="s">
        <v>470</v>
      </c>
      <c r="BPV335" s="301" t="s">
        <v>470</v>
      </c>
      <c r="BPW335" s="301" t="s">
        <v>470</v>
      </c>
      <c r="BPX335" s="301" t="s">
        <v>470</v>
      </c>
      <c r="BPY335" s="301" t="s">
        <v>470</v>
      </c>
      <c r="BPZ335" s="301" t="s">
        <v>470</v>
      </c>
      <c r="BQA335" s="301" t="s">
        <v>470</v>
      </c>
      <c r="BQB335" s="301" t="s">
        <v>470</v>
      </c>
      <c r="BQC335" s="301" t="s">
        <v>470</v>
      </c>
      <c r="BQD335" s="301" t="s">
        <v>470</v>
      </c>
      <c r="BQE335" s="301" t="s">
        <v>470</v>
      </c>
      <c r="BQF335" s="301" t="s">
        <v>470</v>
      </c>
      <c r="BQG335" s="301" t="s">
        <v>470</v>
      </c>
      <c r="BQH335" s="301" t="s">
        <v>470</v>
      </c>
      <c r="BQI335" s="301" t="s">
        <v>470</v>
      </c>
      <c r="BQJ335" s="301" t="s">
        <v>470</v>
      </c>
      <c r="BQK335" s="301" t="s">
        <v>470</v>
      </c>
      <c r="BQL335" s="301" t="s">
        <v>470</v>
      </c>
      <c r="BQM335" s="301" t="s">
        <v>470</v>
      </c>
      <c r="BQN335" s="301" t="s">
        <v>470</v>
      </c>
      <c r="BQO335" s="301" t="s">
        <v>470</v>
      </c>
      <c r="BQP335" s="301" t="s">
        <v>470</v>
      </c>
      <c r="BQQ335" s="301" t="s">
        <v>470</v>
      </c>
      <c r="BQR335" s="301" t="s">
        <v>470</v>
      </c>
      <c r="BQS335" s="301" t="s">
        <v>470</v>
      </c>
      <c r="BQT335" s="301" t="s">
        <v>470</v>
      </c>
      <c r="BQU335" s="301" t="s">
        <v>470</v>
      </c>
      <c r="BQV335" s="301" t="s">
        <v>470</v>
      </c>
      <c r="BQW335" s="301" t="s">
        <v>470</v>
      </c>
      <c r="BQX335" s="301" t="s">
        <v>470</v>
      </c>
      <c r="BQY335" s="301" t="s">
        <v>470</v>
      </c>
      <c r="BQZ335" s="301" t="s">
        <v>470</v>
      </c>
      <c r="BRA335" s="301" t="s">
        <v>470</v>
      </c>
      <c r="BRB335" s="301" t="s">
        <v>470</v>
      </c>
      <c r="BRC335" s="301" t="s">
        <v>470</v>
      </c>
      <c r="BRD335" s="301" t="s">
        <v>470</v>
      </c>
      <c r="BRE335" s="301" t="s">
        <v>470</v>
      </c>
      <c r="BRF335" s="301" t="s">
        <v>470</v>
      </c>
      <c r="BRG335" s="301" t="s">
        <v>470</v>
      </c>
      <c r="BRH335" s="301" t="s">
        <v>470</v>
      </c>
      <c r="BRI335" s="301" t="s">
        <v>470</v>
      </c>
      <c r="BRJ335" s="301" t="s">
        <v>470</v>
      </c>
      <c r="BRK335" s="301" t="s">
        <v>470</v>
      </c>
      <c r="BRL335" s="301" t="s">
        <v>470</v>
      </c>
      <c r="BRM335" s="301" t="s">
        <v>470</v>
      </c>
      <c r="BRN335" s="301" t="s">
        <v>470</v>
      </c>
      <c r="BRO335" s="301" t="s">
        <v>470</v>
      </c>
      <c r="BRP335" s="301" t="s">
        <v>470</v>
      </c>
      <c r="BRQ335" s="301" t="s">
        <v>470</v>
      </c>
      <c r="BRR335" s="301" t="s">
        <v>470</v>
      </c>
      <c r="BRS335" s="301" t="s">
        <v>470</v>
      </c>
      <c r="BRT335" s="301" t="s">
        <v>470</v>
      </c>
      <c r="BRU335" s="301" t="s">
        <v>470</v>
      </c>
      <c r="BRV335" s="301" t="s">
        <v>470</v>
      </c>
      <c r="BRW335" s="301" t="s">
        <v>470</v>
      </c>
      <c r="BRX335" s="301" t="s">
        <v>470</v>
      </c>
      <c r="BRY335" s="301" t="s">
        <v>470</v>
      </c>
      <c r="BRZ335" s="301" t="s">
        <v>470</v>
      </c>
      <c r="BSA335" s="301" t="s">
        <v>470</v>
      </c>
      <c r="BSB335" s="301" t="s">
        <v>470</v>
      </c>
      <c r="BSC335" s="301" t="s">
        <v>470</v>
      </c>
      <c r="BSD335" s="301" t="s">
        <v>470</v>
      </c>
      <c r="BSE335" s="301" t="s">
        <v>470</v>
      </c>
      <c r="BSF335" s="301" t="s">
        <v>470</v>
      </c>
      <c r="BSG335" s="301" t="s">
        <v>470</v>
      </c>
      <c r="BSH335" s="301" t="s">
        <v>470</v>
      </c>
      <c r="BSI335" s="301" t="s">
        <v>470</v>
      </c>
      <c r="BSJ335" s="301" t="s">
        <v>470</v>
      </c>
      <c r="BSK335" s="301" t="s">
        <v>470</v>
      </c>
      <c r="BSL335" s="301" t="s">
        <v>470</v>
      </c>
      <c r="BSM335" s="301" t="s">
        <v>470</v>
      </c>
      <c r="BSN335" s="301" t="s">
        <v>470</v>
      </c>
      <c r="BSO335" s="301" t="s">
        <v>470</v>
      </c>
      <c r="BSP335" s="301" t="s">
        <v>470</v>
      </c>
      <c r="BSQ335" s="301" t="s">
        <v>470</v>
      </c>
      <c r="BSR335" s="301" t="s">
        <v>470</v>
      </c>
      <c r="BSS335" s="301" t="s">
        <v>470</v>
      </c>
      <c r="BST335" s="301" t="s">
        <v>470</v>
      </c>
      <c r="BSU335" s="301" t="s">
        <v>470</v>
      </c>
      <c r="BSV335" s="301" t="s">
        <v>470</v>
      </c>
      <c r="BSW335" s="301" t="s">
        <v>470</v>
      </c>
      <c r="BSX335" s="301" t="s">
        <v>470</v>
      </c>
      <c r="BSY335" s="301" t="s">
        <v>470</v>
      </c>
      <c r="BSZ335" s="301" t="s">
        <v>470</v>
      </c>
      <c r="BTA335" s="301" t="s">
        <v>470</v>
      </c>
      <c r="BTB335" s="301" t="s">
        <v>470</v>
      </c>
      <c r="BTC335" s="301" t="s">
        <v>470</v>
      </c>
      <c r="BTD335" s="301" t="s">
        <v>470</v>
      </c>
      <c r="BTE335" s="301" t="s">
        <v>470</v>
      </c>
      <c r="BTF335" s="301" t="s">
        <v>470</v>
      </c>
      <c r="BTG335" s="301" t="s">
        <v>470</v>
      </c>
      <c r="BTH335" s="301" t="s">
        <v>470</v>
      </c>
      <c r="BTI335" s="301" t="s">
        <v>470</v>
      </c>
      <c r="BTJ335" s="301" t="s">
        <v>470</v>
      </c>
      <c r="BTK335" s="301" t="s">
        <v>470</v>
      </c>
      <c r="BTL335" s="301" t="s">
        <v>470</v>
      </c>
      <c r="BTM335" s="301" t="s">
        <v>470</v>
      </c>
      <c r="BTN335" s="301" t="s">
        <v>470</v>
      </c>
      <c r="BTO335" s="301" t="s">
        <v>470</v>
      </c>
      <c r="BTP335" s="301" t="s">
        <v>470</v>
      </c>
      <c r="BTQ335" s="301" t="s">
        <v>470</v>
      </c>
      <c r="BTR335" s="301" t="s">
        <v>470</v>
      </c>
      <c r="BTS335" s="301" t="s">
        <v>470</v>
      </c>
      <c r="BTT335" s="301" t="s">
        <v>470</v>
      </c>
      <c r="BTU335" s="301" t="s">
        <v>470</v>
      </c>
      <c r="BTV335" s="301" t="s">
        <v>470</v>
      </c>
      <c r="BTW335" s="301" t="s">
        <v>470</v>
      </c>
      <c r="BTX335" s="301" t="s">
        <v>470</v>
      </c>
      <c r="BTY335" s="301" t="s">
        <v>470</v>
      </c>
      <c r="BTZ335" s="301" t="s">
        <v>470</v>
      </c>
      <c r="BUA335" s="301" t="s">
        <v>470</v>
      </c>
      <c r="BUB335" s="301" t="s">
        <v>470</v>
      </c>
      <c r="BUC335" s="301" t="s">
        <v>470</v>
      </c>
      <c r="BUD335" s="301" t="s">
        <v>470</v>
      </c>
      <c r="BUE335" s="301" t="s">
        <v>470</v>
      </c>
      <c r="BUF335" s="301" t="s">
        <v>470</v>
      </c>
      <c r="BUG335" s="301" t="s">
        <v>470</v>
      </c>
      <c r="BUH335" s="301" t="s">
        <v>470</v>
      </c>
      <c r="BUI335" s="301" t="s">
        <v>470</v>
      </c>
      <c r="BUJ335" s="301" t="s">
        <v>470</v>
      </c>
      <c r="BUK335" s="301" t="s">
        <v>470</v>
      </c>
      <c r="BUL335" s="301" t="s">
        <v>470</v>
      </c>
      <c r="BUM335" s="301" t="s">
        <v>470</v>
      </c>
      <c r="BUN335" s="301" t="s">
        <v>470</v>
      </c>
      <c r="BUO335" s="301" t="s">
        <v>470</v>
      </c>
      <c r="BUP335" s="301" t="s">
        <v>470</v>
      </c>
      <c r="BUQ335" s="301" t="s">
        <v>470</v>
      </c>
      <c r="BUR335" s="301" t="s">
        <v>470</v>
      </c>
      <c r="BUS335" s="301" t="s">
        <v>470</v>
      </c>
      <c r="BUT335" s="301" t="s">
        <v>470</v>
      </c>
      <c r="BUU335" s="301" t="s">
        <v>470</v>
      </c>
      <c r="BUV335" s="301" t="s">
        <v>470</v>
      </c>
      <c r="BUW335" s="301" t="s">
        <v>470</v>
      </c>
      <c r="BUX335" s="301" t="s">
        <v>470</v>
      </c>
      <c r="BUY335" s="301" t="s">
        <v>470</v>
      </c>
      <c r="BUZ335" s="301" t="s">
        <v>470</v>
      </c>
      <c r="BVA335" s="301" t="s">
        <v>470</v>
      </c>
      <c r="BVB335" s="301" t="s">
        <v>470</v>
      </c>
      <c r="BVC335" s="301" t="s">
        <v>470</v>
      </c>
      <c r="BVD335" s="301" t="s">
        <v>470</v>
      </c>
      <c r="BVE335" s="301" t="s">
        <v>470</v>
      </c>
      <c r="BVF335" s="301" t="s">
        <v>470</v>
      </c>
      <c r="BVG335" s="301" t="s">
        <v>470</v>
      </c>
      <c r="BVH335" s="301" t="s">
        <v>470</v>
      </c>
      <c r="BVI335" s="301" t="s">
        <v>470</v>
      </c>
      <c r="BVJ335" s="301" t="s">
        <v>470</v>
      </c>
      <c r="BVK335" s="301" t="s">
        <v>470</v>
      </c>
      <c r="BVL335" s="301" t="s">
        <v>470</v>
      </c>
      <c r="BVM335" s="301" t="s">
        <v>470</v>
      </c>
      <c r="BVN335" s="301" t="s">
        <v>470</v>
      </c>
      <c r="BVO335" s="301" t="s">
        <v>470</v>
      </c>
      <c r="BVP335" s="301" t="s">
        <v>470</v>
      </c>
      <c r="BVQ335" s="301" t="s">
        <v>470</v>
      </c>
      <c r="BVR335" s="301" t="s">
        <v>470</v>
      </c>
      <c r="BVS335" s="301" t="s">
        <v>470</v>
      </c>
      <c r="BVT335" s="301" t="s">
        <v>470</v>
      </c>
      <c r="BVU335" s="301" t="s">
        <v>470</v>
      </c>
      <c r="BVV335" s="301" t="s">
        <v>470</v>
      </c>
      <c r="BVW335" s="301" t="s">
        <v>470</v>
      </c>
      <c r="BVX335" s="301" t="s">
        <v>470</v>
      </c>
      <c r="BVY335" s="301" t="s">
        <v>470</v>
      </c>
      <c r="BVZ335" s="301" t="s">
        <v>470</v>
      </c>
      <c r="BWA335" s="301" t="s">
        <v>470</v>
      </c>
      <c r="BWB335" s="301" t="s">
        <v>470</v>
      </c>
      <c r="BWC335" s="301" t="s">
        <v>470</v>
      </c>
      <c r="BWD335" s="301" t="s">
        <v>470</v>
      </c>
      <c r="BWE335" s="301" t="s">
        <v>470</v>
      </c>
      <c r="BWF335" s="301" t="s">
        <v>470</v>
      </c>
      <c r="BWG335" s="301" t="s">
        <v>470</v>
      </c>
      <c r="BWH335" s="301" t="s">
        <v>470</v>
      </c>
      <c r="BWI335" s="301" t="s">
        <v>470</v>
      </c>
      <c r="BWJ335" s="301" t="s">
        <v>470</v>
      </c>
      <c r="BWK335" s="301" t="s">
        <v>470</v>
      </c>
      <c r="BWL335" s="301" t="s">
        <v>470</v>
      </c>
      <c r="BWM335" s="301" t="s">
        <v>470</v>
      </c>
      <c r="BWN335" s="301" t="s">
        <v>470</v>
      </c>
      <c r="BWO335" s="301" t="s">
        <v>470</v>
      </c>
      <c r="BWP335" s="301" t="s">
        <v>470</v>
      </c>
      <c r="BWQ335" s="301" t="s">
        <v>470</v>
      </c>
      <c r="BWR335" s="301" t="s">
        <v>470</v>
      </c>
      <c r="BWS335" s="301" t="s">
        <v>470</v>
      </c>
      <c r="BWT335" s="301" t="s">
        <v>470</v>
      </c>
      <c r="BWU335" s="301" t="s">
        <v>470</v>
      </c>
      <c r="BWV335" s="301" t="s">
        <v>470</v>
      </c>
      <c r="BWW335" s="301" t="s">
        <v>470</v>
      </c>
      <c r="BWX335" s="301" t="s">
        <v>470</v>
      </c>
      <c r="BWY335" s="301" t="s">
        <v>470</v>
      </c>
      <c r="BWZ335" s="301" t="s">
        <v>470</v>
      </c>
      <c r="BXA335" s="301" t="s">
        <v>470</v>
      </c>
      <c r="BXB335" s="301" t="s">
        <v>470</v>
      </c>
      <c r="BXC335" s="301" t="s">
        <v>470</v>
      </c>
      <c r="BXD335" s="301" t="s">
        <v>470</v>
      </c>
      <c r="BXE335" s="301" t="s">
        <v>470</v>
      </c>
      <c r="BXF335" s="301" t="s">
        <v>470</v>
      </c>
      <c r="BXG335" s="301" t="s">
        <v>470</v>
      </c>
      <c r="BXH335" s="301" t="s">
        <v>470</v>
      </c>
      <c r="BXI335" s="301" t="s">
        <v>470</v>
      </c>
      <c r="BXJ335" s="301" t="s">
        <v>470</v>
      </c>
      <c r="BXK335" s="301" t="s">
        <v>470</v>
      </c>
      <c r="BXL335" s="301" t="s">
        <v>470</v>
      </c>
      <c r="BXM335" s="301" t="s">
        <v>470</v>
      </c>
      <c r="BXN335" s="301" t="s">
        <v>470</v>
      </c>
      <c r="BXO335" s="301" t="s">
        <v>470</v>
      </c>
      <c r="BXP335" s="301" t="s">
        <v>470</v>
      </c>
      <c r="BXQ335" s="301" t="s">
        <v>470</v>
      </c>
      <c r="BXR335" s="301" t="s">
        <v>470</v>
      </c>
      <c r="BXS335" s="301" t="s">
        <v>470</v>
      </c>
      <c r="BXT335" s="301" t="s">
        <v>470</v>
      </c>
      <c r="BXU335" s="301" t="s">
        <v>470</v>
      </c>
      <c r="BXV335" s="301" t="s">
        <v>470</v>
      </c>
      <c r="BXW335" s="301" t="s">
        <v>470</v>
      </c>
      <c r="BXX335" s="301" t="s">
        <v>470</v>
      </c>
      <c r="BXY335" s="301" t="s">
        <v>470</v>
      </c>
      <c r="BXZ335" s="301" t="s">
        <v>470</v>
      </c>
      <c r="BYA335" s="301" t="s">
        <v>470</v>
      </c>
      <c r="BYB335" s="301" t="s">
        <v>470</v>
      </c>
      <c r="BYC335" s="301" t="s">
        <v>470</v>
      </c>
      <c r="BYD335" s="301" t="s">
        <v>470</v>
      </c>
      <c r="BYE335" s="301" t="s">
        <v>470</v>
      </c>
      <c r="BYF335" s="301" t="s">
        <v>470</v>
      </c>
      <c r="BYG335" s="301" t="s">
        <v>470</v>
      </c>
      <c r="BYH335" s="301" t="s">
        <v>470</v>
      </c>
      <c r="BYI335" s="301" t="s">
        <v>470</v>
      </c>
      <c r="BYJ335" s="301" t="s">
        <v>470</v>
      </c>
      <c r="BYK335" s="301" t="s">
        <v>470</v>
      </c>
      <c r="BYL335" s="301" t="s">
        <v>470</v>
      </c>
      <c r="BYM335" s="301" t="s">
        <v>470</v>
      </c>
      <c r="BYN335" s="301" t="s">
        <v>470</v>
      </c>
      <c r="BYO335" s="301" t="s">
        <v>470</v>
      </c>
      <c r="BYP335" s="301" t="s">
        <v>470</v>
      </c>
      <c r="BYQ335" s="301" t="s">
        <v>470</v>
      </c>
      <c r="BYR335" s="301" t="s">
        <v>470</v>
      </c>
      <c r="BYS335" s="301" t="s">
        <v>470</v>
      </c>
      <c r="BYT335" s="301" t="s">
        <v>470</v>
      </c>
      <c r="BYU335" s="301" t="s">
        <v>470</v>
      </c>
      <c r="BYV335" s="301" t="s">
        <v>470</v>
      </c>
      <c r="BYW335" s="301" t="s">
        <v>470</v>
      </c>
      <c r="BYX335" s="301" t="s">
        <v>470</v>
      </c>
      <c r="BYY335" s="301" t="s">
        <v>470</v>
      </c>
      <c r="BYZ335" s="301" t="s">
        <v>470</v>
      </c>
      <c r="BZA335" s="301" t="s">
        <v>470</v>
      </c>
      <c r="BZB335" s="301" t="s">
        <v>470</v>
      </c>
      <c r="BZC335" s="301" t="s">
        <v>470</v>
      </c>
      <c r="BZD335" s="301" t="s">
        <v>470</v>
      </c>
      <c r="BZE335" s="301" t="s">
        <v>470</v>
      </c>
      <c r="BZF335" s="301" t="s">
        <v>470</v>
      </c>
      <c r="BZG335" s="301" t="s">
        <v>470</v>
      </c>
      <c r="BZH335" s="301" t="s">
        <v>470</v>
      </c>
      <c r="BZI335" s="301" t="s">
        <v>470</v>
      </c>
      <c r="BZJ335" s="301" t="s">
        <v>470</v>
      </c>
      <c r="BZK335" s="301" t="s">
        <v>470</v>
      </c>
      <c r="BZL335" s="301" t="s">
        <v>470</v>
      </c>
      <c r="BZM335" s="301" t="s">
        <v>470</v>
      </c>
      <c r="BZN335" s="301" t="s">
        <v>470</v>
      </c>
      <c r="BZO335" s="301" t="s">
        <v>470</v>
      </c>
      <c r="BZP335" s="301" t="s">
        <v>470</v>
      </c>
      <c r="BZQ335" s="301" t="s">
        <v>470</v>
      </c>
      <c r="BZR335" s="301" t="s">
        <v>470</v>
      </c>
      <c r="BZS335" s="301" t="s">
        <v>470</v>
      </c>
      <c r="BZT335" s="301" t="s">
        <v>470</v>
      </c>
      <c r="BZU335" s="301" t="s">
        <v>470</v>
      </c>
      <c r="BZV335" s="301" t="s">
        <v>470</v>
      </c>
      <c r="BZW335" s="301" t="s">
        <v>470</v>
      </c>
      <c r="BZX335" s="301" t="s">
        <v>470</v>
      </c>
      <c r="BZY335" s="301" t="s">
        <v>470</v>
      </c>
      <c r="BZZ335" s="301" t="s">
        <v>470</v>
      </c>
      <c r="CAA335" s="301" t="s">
        <v>470</v>
      </c>
      <c r="CAB335" s="301" t="s">
        <v>470</v>
      </c>
      <c r="CAC335" s="301" t="s">
        <v>470</v>
      </c>
      <c r="CAD335" s="301" t="s">
        <v>470</v>
      </c>
      <c r="CAE335" s="301" t="s">
        <v>470</v>
      </c>
      <c r="CAF335" s="301" t="s">
        <v>470</v>
      </c>
      <c r="CAG335" s="301" t="s">
        <v>470</v>
      </c>
      <c r="CAH335" s="301" t="s">
        <v>470</v>
      </c>
      <c r="CAI335" s="301" t="s">
        <v>470</v>
      </c>
      <c r="CAJ335" s="301" t="s">
        <v>470</v>
      </c>
      <c r="CAK335" s="301" t="s">
        <v>470</v>
      </c>
      <c r="CAL335" s="301" t="s">
        <v>470</v>
      </c>
      <c r="CAM335" s="301" t="s">
        <v>470</v>
      </c>
      <c r="CAN335" s="301" t="s">
        <v>470</v>
      </c>
      <c r="CAO335" s="301" t="s">
        <v>470</v>
      </c>
      <c r="CAP335" s="301" t="s">
        <v>470</v>
      </c>
      <c r="CAQ335" s="301" t="s">
        <v>470</v>
      </c>
      <c r="CAR335" s="301" t="s">
        <v>470</v>
      </c>
      <c r="CAS335" s="301" t="s">
        <v>470</v>
      </c>
      <c r="CAT335" s="301" t="s">
        <v>470</v>
      </c>
      <c r="CAU335" s="301" t="s">
        <v>470</v>
      </c>
      <c r="CAV335" s="301" t="s">
        <v>470</v>
      </c>
      <c r="CAW335" s="301" t="s">
        <v>470</v>
      </c>
      <c r="CAX335" s="301" t="s">
        <v>470</v>
      </c>
      <c r="CAY335" s="301" t="s">
        <v>470</v>
      </c>
      <c r="CAZ335" s="301" t="s">
        <v>470</v>
      </c>
      <c r="CBA335" s="301" t="s">
        <v>470</v>
      </c>
      <c r="CBB335" s="301" t="s">
        <v>470</v>
      </c>
      <c r="CBC335" s="301" t="s">
        <v>470</v>
      </c>
      <c r="CBD335" s="301" t="s">
        <v>470</v>
      </c>
      <c r="CBE335" s="301" t="s">
        <v>470</v>
      </c>
      <c r="CBF335" s="301" t="s">
        <v>470</v>
      </c>
      <c r="CBG335" s="301" t="s">
        <v>470</v>
      </c>
      <c r="CBH335" s="301" t="s">
        <v>470</v>
      </c>
      <c r="CBI335" s="301" t="s">
        <v>470</v>
      </c>
      <c r="CBJ335" s="301" t="s">
        <v>470</v>
      </c>
      <c r="CBK335" s="301" t="s">
        <v>470</v>
      </c>
      <c r="CBL335" s="301" t="s">
        <v>470</v>
      </c>
      <c r="CBM335" s="301" t="s">
        <v>470</v>
      </c>
      <c r="CBN335" s="301" t="s">
        <v>470</v>
      </c>
      <c r="CBO335" s="301" t="s">
        <v>470</v>
      </c>
      <c r="CBP335" s="301" t="s">
        <v>470</v>
      </c>
      <c r="CBQ335" s="301" t="s">
        <v>470</v>
      </c>
      <c r="CBR335" s="301" t="s">
        <v>470</v>
      </c>
      <c r="CBS335" s="301" t="s">
        <v>470</v>
      </c>
      <c r="CBT335" s="301" t="s">
        <v>470</v>
      </c>
      <c r="CBU335" s="301" t="s">
        <v>470</v>
      </c>
      <c r="CBV335" s="301" t="s">
        <v>470</v>
      </c>
      <c r="CBW335" s="301" t="s">
        <v>470</v>
      </c>
      <c r="CBX335" s="301" t="s">
        <v>470</v>
      </c>
      <c r="CBY335" s="301" t="s">
        <v>470</v>
      </c>
      <c r="CBZ335" s="301" t="s">
        <v>470</v>
      </c>
      <c r="CCA335" s="301" t="s">
        <v>470</v>
      </c>
      <c r="CCB335" s="301" t="s">
        <v>470</v>
      </c>
      <c r="CCC335" s="301" t="s">
        <v>470</v>
      </c>
      <c r="CCD335" s="301" t="s">
        <v>470</v>
      </c>
      <c r="CCE335" s="301" t="s">
        <v>470</v>
      </c>
      <c r="CCF335" s="301" t="s">
        <v>470</v>
      </c>
      <c r="CCG335" s="301" t="s">
        <v>470</v>
      </c>
      <c r="CCH335" s="301" t="s">
        <v>470</v>
      </c>
      <c r="CCI335" s="301" t="s">
        <v>470</v>
      </c>
      <c r="CCJ335" s="301" t="s">
        <v>470</v>
      </c>
      <c r="CCK335" s="301" t="s">
        <v>470</v>
      </c>
      <c r="CCL335" s="301" t="s">
        <v>470</v>
      </c>
      <c r="CCM335" s="301" t="s">
        <v>470</v>
      </c>
      <c r="CCN335" s="301" t="s">
        <v>470</v>
      </c>
      <c r="CCO335" s="301" t="s">
        <v>470</v>
      </c>
      <c r="CCP335" s="301" t="s">
        <v>470</v>
      </c>
      <c r="CCQ335" s="301" t="s">
        <v>470</v>
      </c>
      <c r="CCR335" s="301" t="s">
        <v>470</v>
      </c>
      <c r="CCS335" s="301" t="s">
        <v>470</v>
      </c>
      <c r="CCT335" s="301" t="s">
        <v>470</v>
      </c>
      <c r="CCU335" s="301" t="s">
        <v>470</v>
      </c>
      <c r="CCV335" s="301" t="s">
        <v>470</v>
      </c>
      <c r="CCW335" s="301" t="s">
        <v>470</v>
      </c>
      <c r="CCX335" s="301" t="s">
        <v>470</v>
      </c>
      <c r="CCY335" s="301" t="s">
        <v>470</v>
      </c>
      <c r="CCZ335" s="301" t="s">
        <v>470</v>
      </c>
      <c r="CDA335" s="301" t="s">
        <v>470</v>
      </c>
      <c r="CDB335" s="301" t="s">
        <v>470</v>
      </c>
      <c r="CDC335" s="301" t="s">
        <v>470</v>
      </c>
      <c r="CDD335" s="301" t="s">
        <v>470</v>
      </c>
      <c r="CDE335" s="301" t="s">
        <v>470</v>
      </c>
      <c r="CDF335" s="301" t="s">
        <v>470</v>
      </c>
      <c r="CDG335" s="301" t="s">
        <v>470</v>
      </c>
      <c r="CDH335" s="301" t="s">
        <v>470</v>
      </c>
      <c r="CDI335" s="301" t="s">
        <v>470</v>
      </c>
      <c r="CDJ335" s="301" t="s">
        <v>470</v>
      </c>
      <c r="CDK335" s="301" t="s">
        <v>470</v>
      </c>
      <c r="CDL335" s="301" t="s">
        <v>470</v>
      </c>
      <c r="CDM335" s="301" t="s">
        <v>470</v>
      </c>
      <c r="CDN335" s="301" t="s">
        <v>470</v>
      </c>
      <c r="CDO335" s="301" t="s">
        <v>470</v>
      </c>
      <c r="CDP335" s="301" t="s">
        <v>470</v>
      </c>
      <c r="CDQ335" s="301" t="s">
        <v>470</v>
      </c>
      <c r="CDR335" s="301" t="s">
        <v>470</v>
      </c>
      <c r="CDS335" s="301" t="s">
        <v>470</v>
      </c>
      <c r="CDT335" s="301" t="s">
        <v>470</v>
      </c>
      <c r="CDU335" s="301" t="s">
        <v>470</v>
      </c>
      <c r="CDV335" s="301" t="s">
        <v>470</v>
      </c>
      <c r="CDW335" s="301" t="s">
        <v>470</v>
      </c>
      <c r="CDX335" s="301" t="s">
        <v>470</v>
      </c>
      <c r="CDY335" s="301" t="s">
        <v>470</v>
      </c>
      <c r="CDZ335" s="301" t="s">
        <v>470</v>
      </c>
      <c r="CEA335" s="301" t="s">
        <v>470</v>
      </c>
      <c r="CEB335" s="301" t="s">
        <v>470</v>
      </c>
      <c r="CEC335" s="301" t="s">
        <v>470</v>
      </c>
      <c r="CED335" s="301" t="s">
        <v>470</v>
      </c>
      <c r="CEE335" s="301" t="s">
        <v>470</v>
      </c>
      <c r="CEF335" s="301" t="s">
        <v>470</v>
      </c>
      <c r="CEG335" s="301" t="s">
        <v>470</v>
      </c>
      <c r="CEH335" s="301" t="s">
        <v>470</v>
      </c>
      <c r="CEI335" s="301" t="s">
        <v>470</v>
      </c>
      <c r="CEJ335" s="301" t="s">
        <v>470</v>
      </c>
      <c r="CEK335" s="301" t="s">
        <v>470</v>
      </c>
      <c r="CEL335" s="301" t="s">
        <v>470</v>
      </c>
      <c r="CEM335" s="301" t="s">
        <v>470</v>
      </c>
      <c r="CEN335" s="301" t="s">
        <v>470</v>
      </c>
      <c r="CEO335" s="301" t="s">
        <v>470</v>
      </c>
      <c r="CEP335" s="301" t="s">
        <v>470</v>
      </c>
      <c r="CEQ335" s="301" t="s">
        <v>470</v>
      </c>
      <c r="CER335" s="301" t="s">
        <v>470</v>
      </c>
      <c r="CES335" s="301" t="s">
        <v>470</v>
      </c>
      <c r="CET335" s="301" t="s">
        <v>470</v>
      </c>
      <c r="CEU335" s="301" t="s">
        <v>470</v>
      </c>
      <c r="CEV335" s="301" t="s">
        <v>470</v>
      </c>
      <c r="CEW335" s="301" t="s">
        <v>470</v>
      </c>
      <c r="CEX335" s="301" t="s">
        <v>470</v>
      </c>
      <c r="CEY335" s="301" t="s">
        <v>470</v>
      </c>
      <c r="CEZ335" s="301" t="s">
        <v>470</v>
      </c>
      <c r="CFA335" s="301" t="s">
        <v>470</v>
      </c>
      <c r="CFB335" s="301" t="s">
        <v>470</v>
      </c>
      <c r="CFC335" s="301" t="s">
        <v>470</v>
      </c>
      <c r="CFD335" s="301" t="s">
        <v>470</v>
      </c>
      <c r="CFE335" s="301" t="s">
        <v>470</v>
      </c>
      <c r="CFF335" s="301" t="s">
        <v>470</v>
      </c>
      <c r="CFG335" s="301" t="s">
        <v>470</v>
      </c>
      <c r="CFH335" s="301" t="s">
        <v>470</v>
      </c>
      <c r="CFI335" s="301" t="s">
        <v>470</v>
      </c>
      <c r="CFJ335" s="301" t="s">
        <v>470</v>
      </c>
      <c r="CFK335" s="301" t="s">
        <v>470</v>
      </c>
      <c r="CFL335" s="301" t="s">
        <v>470</v>
      </c>
      <c r="CFM335" s="301" t="s">
        <v>470</v>
      </c>
      <c r="CFN335" s="301" t="s">
        <v>470</v>
      </c>
      <c r="CFO335" s="301" t="s">
        <v>470</v>
      </c>
      <c r="CFP335" s="301" t="s">
        <v>470</v>
      </c>
      <c r="CFQ335" s="301" t="s">
        <v>470</v>
      </c>
      <c r="CFR335" s="301" t="s">
        <v>470</v>
      </c>
      <c r="CFS335" s="301" t="s">
        <v>470</v>
      </c>
      <c r="CFT335" s="301" t="s">
        <v>470</v>
      </c>
      <c r="CFU335" s="301" t="s">
        <v>470</v>
      </c>
      <c r="CFV335" s="301" t="s">
        <v>470</v>
      </c>
      <c r="CFW335" s="301" t="s">
        <v>470</v>
      </c>
      <c r="CFX335" s="301" t="s">
        <v>470</v>
      </c>
      <c r="CFY335" s="301" t="s">
        <v>470</v>
      </c>
      <c r="CFZ335" s="301" t="s">
        <v>470</v>
      </c>
      <c r="CGA335" s="301" t="s">
        <v>470</v>
      </c>
      <c r="CGB335" s="301" t="s">
        <v>470</v>
      </c>
      <c r="CGC335" s="301" t="s">
        <v>470</v>
      </c>
      <c r="CGD335" s="301" t="s">
        <v>470</v>
      </c>
      <c r="CGE335" s="301" t="s">
        <v>470</v>
      </c>
      <c r="CGF335" s="301" t="s">
        <v>470</v>
      </c>
      <c r="CGG335" s="301" t="s">
        <v>470</v>
      </c>
      <c r="CGH335" s="301" t="s">
        <v>470</v>
      </c>
      <c r="CGI335" s="301" t="s">
        <v>470</v>
      </c>
      <c r="CGJ335" s="301" t="s">
        <v>470</v>
      </c>
      <c r="CGK335" s="301" t="s">
        <v>470</v>
      </c>
      <c r="CGL335" s="301" t="s">
        <v>470</v>
      </c>
      <c r="CGM335" s="301" t="s">
        <v>470</v>
      </c>
      <c r="CGN335" s="301" t="s">
        <v>470</v>
      </c>
      <c r="CGO335" s="301" t="s">
        <v>470</v>
      </c>
      <c r="CGP335" s="301" t="s">
        <v>470</v>
      </c>
      <c r="CGQ335" s="301" t="s">
        <v>470</v>
      </c>
      <c r="CGR335" s="301" t="s">
        <v>470</v>
      </c>
      <c r="CGS335" s="301" t="s">
        <v>470</v>
      </c>
      <c r="CGT335" s="301" t="s">
        <v>470</v>
      </c>
      <c r="CGU335" s="301" t="s">
        <v>470</v>
      </c>
      <c r="CGV335" s="301" t="s">
        <v>470</v>
      </c>
      <c r="CGW335" s="301" t="s">
        <v>470</v>
      </c>
      <c r="CGX335" s="301" t="s">
        <v>470</v>
      </c>
      <c r="CGY335" s="301" t="s">
        <v>470</v>
      </c>
      <c r="CGZ335" s="301" t="s">
        <v>470</v>
      </c>
      <c r="CHA335" s="301" t="s">
        <v>470</v>
      </c>
      <c r="CHB335" s="301" t="s">
        <v>470</v>
      </c>
      <c r="CHC335" s="301" t="s">
        <v>470</v>
      </c>
      <c r="CHD335" s="301" t="s">
        <v>470</v>
      </c>
      <c r="CHE335" s="301" t="s">
        <v>470</v>
      </c>
      <c r="CHF335" s="301" t="s">
        <v>470</v>
      </c>
      <c r="CHG335" s="301" t="s">
        <v>470</v>
      </c>
      <c r="CHH335" s="301" t="s">
        <v>470</v>
      </c>
      <c r="CHI335" s="301" t="s">
        <v>470</v>
      </c>
      <c r="CHJ335" s="301" t="s">
        <v>470</v>
      </c>
      <c r="CHK335" s="301" t="s">
        <v>470</v>
      </c>
      <c r="CHL335" s="301" t="s">
        <v>470</v>
      </c>
      <c r="CHM335" s="301" t="s">
        <v>470</v>
      </c>
      <c r="CHN335" s="301" t="s">
        <v>470</v>
      </c>
      <c r="CHO335" s="301" t="s">
        <v>470</v>
      </c>
      <c r="CHP335" s="301" t="s">
        <v>470</v>
      </c>
      <c r="CHQ335" s="301" t="s">
        <v>470</v>
      </c>
      <c r="CHR335" s="301" t="s">
        <v>470</v>
      </c>
      <c r="CHS335" s="301" t="s">
        <v>470</v>
      </c>
      <c r="CHT335" s="301" t="s">
        <v>470</v>
      </c>
      <c r="CHU335" s="301" t="s">
        <v>470</v>
      </c>
      <c r="CHV335" s="301" t="s">
        <v>470</v>
      </c>
      <c r="CHW335" s="301" t="s">
        <v>470</v>
      </c>
      <c r="CHX335" s="301" t="s">
        <v>470</v>
      </c>
      <c r="CHY335" s="301" t="s">
        <v>470</v>
      </c>
      <c r="CHZ335" s="301" t="s">
        <v>470</v>
      </c>
      <c r="CIA335" s="301" t="s">
        <v>470</v>
      </c>
      <c r="CIB335" s="301" t="s">
        <v>470</v>
      </c>
      <c r="CIC335" s="301" t="s">
        <v>470</v>
      </c>
      <c r="CID335" s="301" t="s">
        <v>470</v>
      </c>
      <c r="CIE335" s="301" t="s">
        <v>470</v>
      </c>
      <c r="CIF335" s="301" t="s">
        <v>470</v>
      </c>
      <c r="CIG335" s="301" t="s">
        <v>470</v>
      </c>
      <c r="CIH335" s="301" t="s">
        <v>470</v>
      </c>
      <c r="CII335" s="301" t="s">
        <v>470</v>
      </c>
      <c r="CIJ335" s="301" t="s">
        <v>470</v>
      </c>
      <c r="CIK335" s="301" t="s">
        <v>470</v>
      </c>
      <c r="CIL335" s="301" t="s">
        <v>470</v>
      </c>
      <c r="CIM335" s="301" t="s">
        <v>470</v>
      </c>
      <c r="CIN335" s="301" t="s">
        <v>470</v>
      </c>
      <c r="CIO335" s="301" t="s">
        <v>470</v>
      </c>
      <c r="CIP335" s="301" t="s">
        <v>470</v>
      </c>
      <c r="CIQ335" s="301" t="s">
        <v>470</v>
      </c>
      <c r="CIR335" s="301" t="s">
        <v>470</v>
      </c>
      <c r="CIS335" s="301" t="s">
        <v>470</v>
      </c>
      <c r="CIT335" s="301" t="s">
        <v>470</v>
      </c>
      <c r="CIU335" s="301" t="s">
        <v>470</v>
      </c>
      <c r="CIV335" s="301" t="s">
        <v>470</v>
      </c>
      <c r="CIW335" s="301" t="s">
        <v>470</v>
      </c>
      <c r="CIX335" s="301" t="s">
        <v>470</v>
      </c>
      <c r="CIY335" s="301" t="s">
        <v>470</v>
      </c>
      <c r="CIZ335" s="301" t="s">
        <v>470</v>
      </c>
      <c r="CJA335" s="301" t="s">
        <v>470</v>
      </c>
      <c r="CJB335" s="301" t="s">
        <v>470</v>
      </c>
      <c r="CJC335" s="301" t="s">
        <v>470</v>
      </c>
      <c r="CJD335" s="301" t="s">
        <v>470</v>
      </c>
      <c r="CJE335" s="301" t="s">
        <v>470</v>
      </c>
      <c r="CJF335" s="301" t="s">
        <v>470</v>
      </c>
      <c r="CJG335" s="301" t="s">
        <v>470</v>
      </c>
      <c r="CJH335" s="301" t="s">
        <v>470</v>
      </c>
      <c r="CJI335" s="301" t="s">
        <v>470</v>
      </c>
      <c r="CJJ335" s="301" t="s">
        <v>470</v>
      </c>
      <c r="CJK335" s="301" t="s">
        <v>470</v>
      </c>
      <c r="CJL335" s="301" t="s">
        <v>470</v>
      </c>
      <c r="CJM335" s="301" t="s">
        <v>470</v>
      </c>
      <c r="CJN335" s="301" t="s">
        <v>470</v>
      </c>
      <c r="CJO335" s="301" t="s">
        <v>470</v>
      </c>
      <c r="CJP335" s="301" t="s">
        <v>470</v>
      </c>
      <c r="CJQ335" s="301" t="s">
        <v>470</v>
      </c>
      <c r="CJR335" s="301" t="s">
        <v>470</v>
      </c>
      <c r="CJS335" s="301" t="s">
        <v>470</v>
      </c>
      <c r="CJT335" s="301" t="s">
        <v>470</v>
      </c>
      <c r="CJU335" s="301" t="s">
        <v>470</v>
      </c>
      <c r="CJV335" s="301" t="s">
        <v>470</v>
      </c>
      <c r="CJW335" s="301" t="s">
        <v>470</v>
      </c>
      <c r="CJX335" s="301" t="s">
        <v>470</v>
      </c>
      <c r="CJY335" s="301" t="s">
        <v>470</v>
      </c>
      <c r="CJZ335" s="301" t="s">
        <v>470</v>
      </c>
      <c r="CKA335" s="301" t="s">
        <v>470</v>
      </c>
      <c r="CKB335" s="301" t="s">
        <v>470</v>
      </c>
      <c r="CKC335" s="301" t="s">
        <v>470</v>
      </c>
      <c r="CKD335" s="301" t="s">
        <v>470</v>
      </c>
      <c r="CKE335" s="301" t="s">
        <v>470</v>
      </c>
      <c r="CKF335" s="301" t="s">
        <v>470</v>
      </c>
      <c r="CKG335" s="301" t="s">
        <v>470</v>
      </c>
      <c r="CKH335" s="301" t="s">
        <v>470</v>
      </c>
      <c r="CKI335" s="301" t="s">
        <v>470</v>
      </c>
      <c r="CKJ335" s="301" t="s">
        <v>470</v>
      </c>
      <c r="CKK335" s="301" t="s">
        <v>470</v>
      </c>
      <c r="CKL335" s="301" t="s">
        <v>470</v>
      </c>
      <c r="CKM335" s="301" t="s">
        <v>470</v>
      </c>
      <c r="CKN335" s="301" t="s">
        <v>470</v>
      </c>
      <c r="CKO335" s="301" t="s">
        <v>470</v>
      </c>
      <c r="CKP335" s="301" t="s">
        <v>470</v>
      </c>
      <c r="CKQ335" s="301" t="s">
        <v>470</v>
      </c>
      <c r="CKR335" s="301" t="s">
        <v>470</v>
      </c>
      <c r="CKS335" s="301" t="s">
        <v>470</v>
      </c>
      <c r="CKT335" s="301" t="s">
        <v>470</v>
      </c>
      <c r="CKU335" s="301" t="s">
        <v>470</v>
      </c>
      <c r="CKV335" s="301" t="s">
        <v>470</v>
      </c>
      <c r="CKW335" s="301" t="s">
        <v>470</v>
      </c>
      <c r="CKX335" s="301" t="s">
        <v>470</v>
      </c>
      <c r="CKY335" s="301" t="s">
        <v>470</v>
      </c>
      <c r="CKZ335" s="301" t="s">
        <v>470</v>
      </c>
      <c r="CLA335" s="301" t="s">
        <v>470</v>
      </c>
      <c r="CLB335" s="301" t="s">
        <v>470</v>
      </c>
      <c r="CLC335" s="301" t="s">
        <v>470</v>
      </c>
      <c r="CLD335" s="301" t="s">
        <v>470</v>
      </c>
      <c r="CLE335" s="301" t="s">
        <v>470</v>
      </c>
      <c r="CLF335" s="301" t="s">
        <v>470</v>
      </c>
      <c r="CLG335" s="301" t="s">
        <v>470</v>
      </c>
      <c r="CLH335" s="301" t="s">
        <v>470</v>
      </c>
      <c r="CLI335" s="301" t="s">
        <v>470</v>
      </c>
      <c r="CLJ335" s="301" t="s">
        <v>470</v>
      </c>
      <c r="CLK335" s="301" t="s">
        <v>470</v>
      </c>
      <c r="CLL335" s="301" t="s">
        <v>470</v>
      </c>
      <c r="CLM335" s="301" t="s">
        <v>470</v>
      </c>
      <c r="CLN335" s="301" t="s">
        <v>470</v>
      </c>
      <c r="CLO335" s="301" t="s">
        <v>470</v>
      </c>
      <c r="CLP335" s="301" t="s">
        <v>470</v>
      </c>
      <c r="CLQ335" s="301" t="s">
        <v>470</v>
      </c>
      <c r="CLR335" s="301" t="s">
        <v>470</v>
      </c>
      <c r="CLS335" s="301" t="s">
        <v>470</v>
      </c>
      <c r="CLT335" s="301" t="s">
        <v>470</v>
      </c>
      <c r="CLU335" s="301" t="s">
        <v>470</v>
      </c>
      <c r="CLV335" s="301" t="s">
        <v>470</v>
      </c>
      <c r="CLW335" s="301" t="s">
        <v>470</v>
      </c>
      <c r="CLX335" s="301" t="s">
        <v>470</v>
      </c>
      <c r="CLY335" s="301" t="s">
        <v>470</v>
      </c>
      <c r="CLZ335" s="301" t="s">
        <v>470</v>
      </c>
      <c r="CMA335" s="301" t="s">
        <v>470</v>
      </c>
      <c r="CMB335" s="301" t="s">
        <v>470</v>
      </c>
      <c r="CMC335" s="301" t="s">
        <v>470</v>
      </c>
      <c r="CMD335" s="301" t="s">
        <v>470</v>
      </c>
      <c r="CME335" s="301" t="s">
        <v>470</v>
      </c>
      <c r="CMF335" s="301" t="s">
        <v>470</v>
      </c>
      <c r="CMG335" s="301" t="s">
        <v>470</v>
      </c>
      <c r="CMH335" s="301" t="s">
        <v>470</v>
      </c>
      <c r="CMI335" s="301" t="s">
        <v>470</v>
      </c>
      <c r="CMJ335" s="301" t="s">
        <v>470</v>
      </c>
      <c r="CMK335" s="301" t="s">
        <v>470</v>
      </c>
      <c r="CML335" s="301" t="s">
        <v>470</v>
      </c>
      <c r="CMM335" s="301" t="s">
        <v>470</v>
      </c>
      <c r="CMN335" s="301" t="s">
        <v>470</v>
      </c>
      <c r="CMO335" s="301" t="s">
        <v>470</v>
      </c>
      <c r="CMP335" s="301" t="s">
        <v>470</v>
      </c>
      <c r="CMQ335" s="301" t="s">
        <v>470</v>
      </c>
      <c r="CMR335" s="301" t="s">
        <v>470</v>
      </c>
      <c r="CMS335" s="301" t="s">
        <v>470</v>
      </c>
      <c r="CMT335" s="301" t="s">
        <v>470</v>
      </c>
      <c r="CMU335" s="301" t="s">
        <v>470</v>
      </c>
      <c r="CMV335" s="301" t="s">
        <v>470</v>
      </c>
      <c r="CMW335" s="301" t="s">
        <v>470</v>
      </c>
      <c r="CMX335" s="301" t="s">
        <v>470</v>
      </c>
      <c r="CMY335" s="301" t="s">
        <v>470</v>
      </c>
      <c r="CMZ335" s="301" t="s">
        <v>470</v>
      </c>
      <c r="CNA335" s="301" t="s">
        <v>470</v>
      </c>
      <c r="CNB335" s="301" t="s">
        <v>470</v>
      </c>
      <c r="CNC335" s="301" t="s">
        <v>470</v>
      </c>
      <c r="CND335" s="301" t="s">
        <v>470</v>
      </c>
      <c r="CNE335" s="301" t="s">
        <v>470</v>
      </c>
      <c r="CNF335" s="301" t="s">
        <v>470</v>
      </c>
      <c r="CNG335" s="301" t="s">
        <v>470</v>
      </c>
      <c r="CNH335" s="301" t="s">
        <v>470</v>
      </c>
      <c r="CNI335" s="301" t="s">
        <v>470</v>
      </c>
      <c r="CNJ335" s="301" t="s">
        <v>470</v>
      </c>
      <c r="CNK335" s="301" t="s">
        <v>470</v>
      </c>
      <c r="CNL335" s="301" t="s">
        <v>470</v>
      </c>
      <c r="CNM335" s="301" t="s">
        <v>470</v>
      </c>
      <c r="CNN335" s="301" t="s">
        <v>470</v>
      </c>
      <c r="CNO335" s="301" t="s">
        <v>470</v>
      </c>
      <c r="CNP335" s="301" t="s">
        <v>470</v>
      </c>
      <c r="CNQ335" s="301" t="s">
        <v>470</v>
      </c>
      <c r="CNR335" s="301" t="s">
        <v>470</v>
      </c>
      <c r="CNS335" s="301" t="s">
        <v>470</v>
      </c>
      <c r="CNT335" s="301" t="s">
        <v>470</v>
      </c>
      <c r="CNU335" s="301" t="s">
        <v>470</v>
      </c>
      <c r="CNV335" s="301" t="s">
        <v>470</v>
      </c>
      <c r="CNW335" s="301" t="s">
        <v>470</v>
      </c>
      <c r="CNX335" s="301" t="s">
        <v>470</v>
      </c>
      <c r="CNY335" s="301" t="s">
        <v>470</v>
      </c>
      <c r="CNZ335" s="301" t="s">
        <v>470</v>
      </c>
      <c r="COA335" s="301" t="s">
        <v>470</v>
      </c>
      <c r="COB335" s="301" t="s">
        <v>470</v>
      </c>
      <c r="COC335" s="301" t="s">
        <v>470</v>
      </c>
      <c r="COD335" s="301" t="s">
        <v>470</v>
      </c>
      <c r="COE335" s="301" t="s">
        <v>470</v>
      </c>
      <c r="COF335" s="301" t="s">
        <v>470</v>
      </c>
      <c r="COG335" s="301" t="s">
        <v>470</v>
      </c>
      <c r="COH335" s="301" t="s">
        <v>470</v>
      </c>
      <c r="COI335" s="301" t="s">
        <v>470</v>
      </c>
      <c r="COJ335" s="301" t="s">
        <v>470</v>
      </c>
      <c r="COK335" s="301" t="s">
        <v>470</v>
      </c>
      <c r="COL335" s="301" t="s">
        <v>470</v>
      </c>
      <c r="COM335" s="301" t="s">
        <v>470</v>
      </c>
      <c r="CON335" s="301" t="s">
        <v>470</v>
      </c>
      <c r="COO335" s="301" t="s">
        <v>470</v>
      </c>
      <c r="COP335" s="301" t="s">
        <v>470</v>
      </c>
      <c r="COQ335" s="301" t="s">
        <v>470</v>
      </c>
      <c r="COR335" s="301" t="s">
        <v>470</v>
      </c>
      <c r="COS335" s="301" t="s">
        <v>470</v>
      </c>
      <c r="COT335" s="301" t="s">
        <v>470</v>
      </c>
      <c r="COU335" s="301" t="s">
        <v>470</v>
      </c>
      <c r="COV335" s="301" t="s">
        <v>470</v>
      </c>
      <c r="COW335" s="301" t="s">
        <v>470</v>
      </c>
      <c r="COX335" s="301" t="s">
        <v>470</v>
      </c>
      <c r="COY335" s="301" t="s">
        <v>470</v>
      </c>
      <c r="COZ335" s="301" t="s">
        <v>470</v>
      </c>
      <c r="CPA335" s="301" t="s">
        <v>470</v>
      </c>
      <c r="CPB335" s="301" t="s">
        <v>470</v>
      </c>
      <c r="CPC335" s="301" t="s">
        <v>470</v>
      </c>
      <c r="CPD335" s="301" t="s">
        <v>470</v>
      </c>
      <c r="CPE335" s="301" t="s">
        <v>470</v>
      </c>
      <c r="CPF335" s="301" t="s">
        <v>470</v>
      </c>
      <c r="CPG335" s="301" t="s">
        <v>470</v>
      </c>
      <c r="CPH335" s="301" t="s">
        <v>470</v>
      </c>
      <c r="CPI335" s="301" t="s">
        <v>470</v>
      </c>
      <c r="CPJ335" s="301" t="s">
        <v>470</v>
      </c>
      <c r="CPK335" s="301" t="s">
        <v>470</v>
      </c>
      <c r="CPL335" s="301" t="s">
        <v>470</v>
      </c>
      <c r="CPM335" s="301" t="s">
        <v>470</v>
      </c>
      <c r="CPN335" s="301" t="s">
        <v>470</v>
      </c>
      <c r="CPO335" s="301" t="s">
        <v>470</v>
      </c>
      <c r="CPP335" s="301" t="s">
        <v>470</v>
      </c>
      <c r="CPQ335" s="301" t="s">
        <v>470</v>
      </c>
      <c r="CPR335" s="301" t="s">
        <v>470</v>
      </c>
      <c r="CPS335" s="301" t="s">
        <v>470</v>
      </c>
      <c r="CPT335" s="301" t="s">
        <v>470</v>
      </c>
      <c r="CPU335" s="301" t="s">
        <v>470</v>
      </c>
      <c r="CPV335" s="301" t="s">
        <v>470</v>
      </c>
      <c r="CPW335" s="301" t="s">
        <v>470</v>
      </c>
      <c r="CPX335" s="301" t="s">
        <v>470</v>
      </c>
      <c r="CPY335" s="301" t="s">
        <v>470</v>
      </c>
      <c r="CPZ335" s="301" t="s">
        <v>470</v>
      </c>
      <c r="CQA335" s="301" t="s">
        <v>470</v>
      </c>
      <c r="CQB335" s="301" t="s">
        <v>470</v>
      </c>
      <c r="CQC335" s="301" t="s">
        <v>470</v>
      </c>
      <c r="CQD335" s="301" t="s">
        <v>470</v>
      </c>
      <c r="CQE335" s="301" t="s">
        <v>470</v>
      </c>
      <c r="CQF335" s="301" t="s">
        <v>470</v>
      </c>
      <c r="CQG335" s="301" t="s">
        <v>470</v>
      </c>
      <c r="CQH335" s="301" t="s">
        <v>470</v>
      </c>
      <c r="CQI335" s="301" t="s">
        <v>470</v>
      </c>
      <c r="CQJ335" s="301" t="s">
        <v>470</v>
      </c>
      <c r="CQK335" s="301" t="s">
        <v>470</v>
      </c>
      <c r="CQL335" s="301" t="s">
        <v>470</v>
      </c>
      <c r="CQM335" s="301" t="s">
        <v>470</v>
      </c>
      <c r="CQN335" s="301" t="s">
        <v>470</v>
      </c>
      <c r="CQO335" s="301" t="s">
        <v>470</v>
      </c>
      <c r="CQP335" s="301" t="s">
        <v>470</v>
      </c>
      <c r="CQQ335" s="301" t="s">
        <v>470</v>
      </c>
      <c r="CQR335" s="301" t="s">
        <v>470</v>
      </c>
      <c r="CQS335" s="301" t="s">
        <v>470</v>
      </c>
      <c r="CQT335" s="301" t="s">
        <v>470</v>
      </c>
      <c r="CQU335" s="301" t="s">
        <v>470</v>
      </c>
      <c r="CQV335" s="301" t="s">
        <v>470</v>
      </c>
      <c r="CQW335" s="301" t="s">
        <v>470</v>
      </c>
      <c r="CQX335" s="301" t="s">
        <v>470</v>
      </c>
      <c r="CQY335" s="301" t="s">
        <v>470</v>
      </c>
      <c r="CQZ335" s="301" t="s">
        <v>470</v>
      </c>
      <c r="CRA335" s="301" t="s">
        <v>470</v>
      </c>
      <c r="CRB335" s="301" t="s">
        <v>470</v>
      </c>
      <c r="CRC335" s="301" t="s">
        <v>470</v>
      </c>
      <c r="CRD335" s="301" t="s">
        <v>470</v>
      </c>
      <c r="CRE335" s="301" t="s">
        <v>470</v>
      </c>
      <c r="CRF335" s="301" t="s">
        <v>470</v>
      </c>
      <c r="CRG335" s="301" t="s">
        <v>470</v>
      </c>
      <c r="CRH335" s="301" t="s">
        <v>470</v>
      </c>
      <c r="CRI335" s="301" t="s">
        <v>470</v>
      </c>
      <c r="CRJ335" s="301" t="s">
        <v>470</v>
      </c>
      <c r="CRK335" s="301" t="s">
        <v>470</v>
      </c>
      <c r="CRL335" s="301" t="s">
        <v>470</v>
      </c>
      <c r="CRM335" s="301" t="s">
        <v>470</v>
      </c>
      <c r="CRN335" s="301" t="s">
        <v>470</v>
      </c>
      <c r="CRO335" s="301" t="s">
        <v>470</v>
      </c>
      <c r="CRP335" s="301" t="s">
        <v>470</v>
      </c>
      <c r="CRQ335" s="301" t="s">
        <v>470</v>
      </c>
      <c r="CRR335" s="301" t="s">
        <v>470</v>
      </c>
      <c r="CRS335" s="301" t="s">
        <v>470</v>
      </c>
      <c r="CRT335" s="301" t="s">
        <v>470</v>
      </c>
      <c r="CRU335" s="301" t="s">
        <v>470</v>
      </c>
      <c r="CRV335" s="301" t="s">
        <v>470</v>
      </c>
      <c r="CRW335" s="301" t="s">
        <v>470</v>
      </c>
      <c r="CRX335" s="301" t="s">
        <v>470</v>
      </c>
      <c r="CRY335" s="301" t="s">
        <v>470</v>
      </c>
      <c r="CRZ335" s="301" t="s">
        <v>470</v>
      </c>
      <c r="CSA335" s="301" t="s">
        <v>470</v>
      </c>
      <c r="CSB335" s="301" t="s">
        <v>470</v>
      </c>
      <c r="CSC335" s="301" t="s">
        <v>470</v>
      </c>
      <c r="CSD335" s="301" t="s">
        <v>470</v>
      </c>
      <c r="CSE335" s="301" t="s">
        <v>470</v>
      </c>
      <c r="CSF335" s="301" t="s">
        <v>470</v>
      </c>
      <c r="CSG335" s="301" t="s">
        <v>470</v>
      </c>
      <c r="CSH335" s="301" t="s">
        <v>470</v>
      </c>
      <c r="CSI335" s="301" t="s">
        <v>470</v>
      </c>
      <c r="CSJ335" s="301" t="s">
        <v>470</v>
      </c>
      <c r="CSK335" s="301" t="s">
        <v>470</v>
      </c>
      <c r="CSL335" s="301" t="s">
        <v>470</v>
      </c>
      <c r="CSM335" s="301" t="s">
        <v>470</v>
      </c>
      <c r="CSN335" s="301" t="s">
        <v>470</v>
      </c>
      <c r="CSO335" s="301" t="s">
        <v>470</v>
      </c>
      <c r="CSP335" s="301" t="s">
        <v>470</v>
      </c>
      <c r="CSQ335" s="301" t="s">
        <v>470</v>
      </c>
      <c r="CSR335" s="301" t="s">
        <v>470</v>
      </c>
      <c r="CSS335" s="301" t="s">
        <v>470</v>
      </c>
      <c r="CST335" s="301" t="s">
        <v>470</v>
      </c>
      <c r="CSU335" s="301" t="s">
        <v>470</v>
      </c>
      <c r="CSV335" s="301" t="s">
        <v>470</v>
      </c>
      <c r="CSW335" s="301" t="s">
        <v>470</v>
      </c>
      <c r="CSX335" s="301" t="s">
        <v>470</v>
      </c>
      <c r="CSY335" s="301" t="s">
        <v>470</v>
      </c>
      <c r="CSZ335" s="301" t="s">
        <v>470</v>
      </c>
      <c r="CTA335" s="301" t="s">
        <v>470</v>
      </c>
      <c r="CTB335" s="301" t="s">
        <v>470</v>
      </c>
      <c r="CTC335" s="301" t="s">
        <v>470</v>
      </c>
      <c r="CTD335" s="301" t="s">
        <v>470</v>
      </c>
      <c r="CTE335" s="301" t="s">
        <v>470</v>
      </c>
      <c r="CTF335" s="301" t="s">
        <v>470</v>
      </c>
      <c r="CTG335" s="301" t="s">
        <v>470</v>
      </c>
      <c r="CTH335" s="301" t="s">
        <v>470</v>
      </c>
      <c r="CTI335" s="301" t="s">
        <v>470</v>
      </c>
      <c r="CTJ335" s="301" t="s">
        <v>470</v>
      </c>
      <c r="CTK335" s="301" t="s">
        <v>470</v>
      </c>
      <c r="CTL335" s="301" t="s">
        <v>470</v>
      </c>
      <c r="CTM335" s="301" t="s">
        <v>470</v>
      </c>
      <c r="CTN335" s="301" t="s">
        <v>470</v>
      </c>
      <c r="CTO335" s="301" t="s">
        <v>470</v>
      </c>
      <c r="CTP335" s="301" t="s">
        <v>470</v>
      </c>
      <c r="CTQ335" s="301" t="s">
        <v>470</v>
      </c>
      <c r="CTR335" s="301" t="s">
        <v>470</v>
      </c>
      <c r="CTS335" s="301" t="s">
        <v>470</v>
      </c>
      <c r="CTT335" s="301" t="s">
        <v>470</v>
      </c>
      <c r="CTU335" s="301" t="s">
        <v>470</v>
      </c>
      <c r="CTV335" s="301" t="s">
        <v>470</v>
      </c>
      <c r="CTW335" s="301" t="s">
        <v>470</v>
      </c>
      <c r="CTX335" s="301" t="s">
        <v>470</v>
      </c>
      <c r="CTY335" s="301" t="s">
        <v>470</v>
      </c>
      <c r="CTZ335" s="301" t="s">
        <v>470</v>
      </c>
      <c r="CUA335" s="301" t="s">
        <v>470</v>
      </c>
      <c r="CUB335" s="301" t="s">
        <v>470</v>
      </c>
      <c r="CUC335" s="301" t="s">
        <v>470</v>
      </c>
      <c r="CUD335" s="301" t="s">
        <v>470</v>
      </c>
      <c r="CUE335" s="301" t="s">
        <v>470</v>
      </c>
      <c r="CUF335" s="301" t="s">
        <v>470</v>
      </c>
      <c r="CUG335" s="301" t="s">
        <v>470</v>
      </c>
      <c r="CUH335" s="301" t="s">
        <v>470</v>
      </c>
      <c r="CUI335" s="301" t="s">
        <v>470</v>
      </c>
      <c r="CUJ335" s="301" t="s">
        <v>470</v>
      </c>
      <c r="CUK335" s="301" t="s">
        <v>470</v>
      </c>
      <c r="CUL335" s="301" t="s">
        <v>470</v>
      </c>
      <c r="CUM335" s="301" t="s">
        <v>470</v>
      </c>
      <c r="CUN335" s="301" t="s">
        <v>470</v>
      </c>
      <c r="CUO335" s="301" t="s">
        <v>470</v>
      </c>
      <c r="CUP335" s="301" t="s">
        <v>470</v>
      </c>
      <c r="CUQ335" s="301" t="s">
        <v>470</v>
      </c>
      <c r="CUR335" s="301" t="s">
        <v>470</v>
      </c>
      <c r="CUS335" s="301" t="s">
        <v>470</v>
      </c>
      <c r="CUT335" s="301" t="s">
        <v>470</v>
      </c>
      <c r="CUU335" s="301" t="s">
        <v>470</v>
      </c>
      <c r="CUV335" s="301" t="s">
        <v>470</v>
      </c>
      <c r="CUW335" s="301" t="s">
        <v>470</v>
      </c>
      <c r="CUX335" s="301" t="s">
        <v>470</v>
      </c>
      <c r="CUY335" s="301" t="s">
        <v>470</v>
      </c>
      <c r="CUZ335" s="301" t="s">
        <v>470</v>
      </c>
      <c r="CVA335" s="301" t="s">
        <v>470</v>
      </c>
      <c r="CVB335" s="301" t="s">
        <v>470</v>
      </c>
      <c r="CVC335" s="301" t="s">
        <v>470</v>
      </c>
      <c r="CVD335" s="301" t="s">
        <v>470</v>
      </c>
      <c r="CVE335" s="301" t="s">
        <v>470</v>
      </c>
      <c r="CVF335" s="301" t="s">
        <v>470</v>
      </c>
      <c r="CVG335" s="301" t="s">
        <v>470</v>
      </c>
      <c r="CVH335" s="301" t="s">
        <v>470</v>
      </c>
      <c r="CVI335" s="301" t="s">
        <v>470</v>
      </c>
      <c r="CVJ335" s="301" t="s">
        <v>470</v>
      </c>
      <c r="CVK335" s="301" t="s">
        <v>470</v>
      </c>
      <c r="CVL335" s="301" t="s">
        <v>470</v>
      </c>
      <c r="CVM335" s="301" t="s">
        <v>470</v>
      </c>
      <c r="CVN335" s="301" t="s">
        <v>470</v>
      </c>
      <c r="CVO335" s="301" t="s">
        <v>470</v>
      </c>
      <c r="CVP335" s="301" t="s">
        <v>470</v>
      </c>
      <c r="CVQ335" s="301" t="s">
        <v>470</v>
      </c>
      <c r="CVR335" s="301" t="s">
        <v>470</v>
      </c>
      <c r="CVS335" s="301" t="s">
        <v>470</v>
      </c>
      <c r="CVT335" s="301" t="s">
        <v>470</v>
      </c>
      <c r="CVU335" s="301" t="s">
        <v>470</v>
      </c>
      <c r="CVV335" s="301" t="s">
        <v>470</v>
      </c>
      <c r="CVW335" s="301" t="s">
        <v>470</v>
      </c>
      <c r="CVX335" s="301" t="s">
        <v>470</v>
      </c>
      <c r="CVY335" s="301" t="s">
        <v>470</v>
      </c>
      <c r="CVZ335" s="301" t="s">
        <v>470</v>
      </c>
      <c r="CWA335" s="301" t="s">
        <v>470</v>
      </c>
      <c r="CWB335" s="301" t="s">
        <v>470</v>
      </c>
      <c r="CWC335" s="301" t="s">
        <v>470</v>
      </c>
      <c r="CWD335" s="301" t="s">
        <v>470</v>
      </c>
      <c r="CWE335" s="301" t="s">
        <v>470</v>
      </c>
      <c r="CWF335" s="301" t="s">
        <v>470</v>
      </c>
      <c r="CWG335" s="301" t="s">
        <v>470</v>
      </c>
      <c r="CWH335" s="301" t="s">
        <v>470</v>
      </c>
      <c r="CWI335" s="301" t="s">
        <v>470</v>
      </c>
      <c r="CWJ335" s="301" t="s">
        <v>470</v>
      </c>
      <c r="CWK335" s="301" t="s">
        <v>470</v>
      </c>
      <c r="CWL335" s="301" t="s">
        <v>470</v>
      </c>
      <c r="CWM335" s="301" t="s">
        <v>470</v>
      </c>
      <c r="CWN335" s="301" t="s">
        <v>470</v>
      </c>
      <c r="CWO335" s="301" t="s">
        <v>470</v>
      </c>
      <c r="CWP335" s="301" t="s">
        <v>470</v>
      </c>
      <c r="CWQ335" s="301" t="s">
        <v>470</v>
      </c>
      <c r="CWR335" s="301" t="s">
        <v>470</v>
      </c>
      <c r="CWS335" s="301" t="s">
        <v>470</v>
      </c>
      <c r="CWT335" s="301" t="s">
        <v>470</v>
      </c>
      <c r="CWU335" s="301" t="s">
        <v>470</v>
      </c>
      <c r="CWV335" s="301" t="s">
        <v>470</v>
      </c>
      <c r="CWW335" s="301" t="s">
        <v>470</v>
      </c>
      <c r="CWX335" s="301" t="s">
        <v>470</v>
      </c>
      <c r="CWY335" s="301" t="s">
        <v>470</v>
      </c>
      <c r="CWZ335" s="301" t="s">
        <v>470</v>
      </c>
      <c r="CXA335" s="301" t="s">
        <v>470</v>
      </c>
      <c r="CXB335" s="301" t="s">
        <v>470</v>
      </c>
      <c r="CXC335" s="301" t="s">
        <v>470</v>
      </c>
      <c r="CXD335" s="301" t="s">
        <v>470</v>
      </c>
      <c r="CXE335" s="301" t="s">
        <v>470</v>
      </c>
      <c r="CXF335" s="301" t="s">
        <v>470</v>
      </c>
      <c r="CXG335" s="301" t="s">
        <v>470</v>
      </c>
      <c r="CXH335" s="301" t="s">
        <v>470</v>
      </c>
      <c r="CXI335" s="301" t="s">
        <v>470</v>
      </c>
      <c r="CXJ335" s="301" t="s">
        <v>470</v>
      </c>
      <c r="CXK335" s="301" t="s">
        <v>470</v>
      </c>
      <c r="CXL335" s="301" t="s">
        <v>470</v>
      </c>
      <c r="CXM335" s="301" t="s">
        <v>470</v>
      </c>
      <c r="CXN335" s="301" t="s">
        <v>470</v>
      </c>
      <c r="CXO335" s="301" t="s">
        <v>470</v>
      </c>
      <c r="CXP335" s="301" t="s">
        <v>470</v>
      </c>
      <c r="CXQ335" s="301" t="s">
        <v>470</v>
      </c>
      <c r="CXR335" s="301" t="s">
        <v>470</v>
      </c>
      <c r="CXS335" s="301" t="s">
        <v>470</v>
      </c>
      <c r="CXT335" s="301" t="s">
        <v>470</v>
      </c>
      <c r="CXU335" s="301" t="s">
        <v>470</v>
      </c>
      <c r="CXV335" s="301" t="s">
        <v>470</v>
      </c>
      <c r="CXW335" s="301" t="s">
        <v>470</v>
      </c>
      <c r="CXX335" s="301" t="s">
        <v>470</v>
      </c>
      <c r="CXY335" s="301" t="s">
        <v>470</v>
      </c>
      <c r="CXZ335" s="301" t="s">
        <v>470</v>
      </c>
      <c r="CYA335" s="301" t="s">
        <v>470</v>
      </c>
      <c r="CYB335" s="301" t="s">
        <v>470</v>
      </c>
      <c r="CYC335" s="301" t="s">
        <v>470</v>
      </c>
      <c r="CYD335" s="301" t="s">
        <v>470</v>
      </c>
      <c r="CYE335" s="301" t="s">
        <v>470</v>
      </c>
      <c r="CYF335" s="301" t="s">
        <v>470</v>
      </c>
      <c r="CYG335" s="301" t="s">
        <v>470</v>
      </c>
      <c r="CYH335" s="301" t="s">
        <v>470</v>
      </c>
      <c r="CYI335" s="301" t="s">
        <v>470</v>
      </c>
      <c r="CYJ335" s="301" t="s">
        <v>470</v>
      </c>
      <c r="CYK335" s="301" t="s">
        <v>470</v>
      </c>
      <c r="CYL335" s="301" t="s">
        <v>470</v>
      </c>
      <c r="CYM335" s="301" t="s">
        <v>470</v>
      </c>
      <c r="CYN335" s="301" t="s">
        <v>470</v>
      </c>
      <c r="CYO335" s="301" t="s">
        <v>470</v>
      </c>
      <c r="CYP335" s="301" t="s">
        <v>470</v>
      </c>
      <c r="CYQ335" s="301" t="s">
        <v>470</v>
      </c>
      <c r="CYR335" s="301" t="s">
        <v>470</v>
      </c>
      <c r="CYS335" s="301" t="s">
        <v>470</v>
      </c>
      <c r="CYT335" s="301" t="s">
        <v>470</v>
      </c>
      <c r="CYU335" s="301" t="s">
        <v>470</v>
      </c>
      <c r="CYV335" s="301" t="s">
        <v>470</v>
      </c>
      <c r="CYW335" s="301" t="s">
        <v>470</v>
      </c>
      <c r="CYX335" s="301" t="s">
        <v>470</v>
      </c>
      <c r="CYY335" s="301" t="s">
        <v>470</v>
      </c>
      <c r="CYZ335" s="301" t="s">
        <v>470</v>
      </c>
      <c r="CZA335" s="301" t="s">
        <v>470</v>
      </c>
      <c r="CZB335" s="301" t="s">
        <v>470</v>
      </c>
      <c r="CZC335" s="301" t="s">
        <v>470</v>
      </c>
      <c r="CZD335" s="301" t="s">
        <v>470</v>
      </c>
      <c r="CZE335" s="301" t="s">
        <v>470</v>
      </c>
      <c r="CZF335" s="301" t="s">
        <v>470</v>
      </c>
      <c r="CZG335" s="301" t="s">
        <v>470</v>
      </c>
      <c r="CZH335" s="301" t="s">
        <v>470</v>
      </c>
      <c r="CZI335" s="301" t="s">
        <v>470</v>
      </c>
      <c r="CZJ335" s="301" t="s">
        <v>470</v>
      </c>
      <c r="CZK335" s="301" t="s">
        <v>470</v>
      </c>
      <c r="CZL335" s="301" t="s">
        <v>470</v>
      </c>
      <c r="CZM335" s="301" t="s">
        <v>470</v>
      </c>
      <c r="CZN335" s="301" t="s">
        <v>470</v>
      </c>
      <c r="CZO335" s="301" t="s">
        <v>470</v>
      </c>
      <c r="CZP335" s="301" t="s">
        <v>470</v>
      </c>
      <c r="CZQ335" s="301" t="s">
        <v>470</v>
      </c>
      <c r="CZR335" s="301" t="s">
        <v>470</v>
      </c>
      <c r="CZS335" s="301" t="s">
        <v>470</v>
      </c>
      <c r="CZT335" s="301" t="s">
        <v>470</v>
      </c>
      <c r="CZU335" s="301" t="s">
        <v>470</v>
      </c>
      <c r="CZV335" s="301" t="s">
        <v>470</v>
      </c>
      <c r="CZW335" s="301" t="s">
        <v>470</v>
      </c>
      <c r="CZX335" s="301" t="s">
        <v>470</v>
      </c>
      <c r="CZY335" s="301" t="s">
        <v>470</v>
      </c>
      <c r="CZZ335" s="301" t="s">
        <v>470</v>
      </c>
      <c r="DAA335" s="301" t="s">
        <v>470</v>
      </c>
      <c r="DAB335" s="301" t="s">
        <v>470</v>
      </c>
      <c r="DAC335" s="301" t="s">
        <v>470</v>
      </c>
      <c r="DAD335" s="301" t="s">
        <v>470</v>
      </c>
      <c r="DAE335" s="301" t="s">
        <v>470</v>
      </c>
      <c r="DAF335" s="301" t="s">
        <v>470</v>
      </c>
      <c r="DAG335" s="301" t="s">
        <v>470</v>
      </c>
      <c r="DAH335" s="301" t="s">
        <v>470</v>
      </c>
      <c r="DAI335" s="301" t="s">
        <v>470</v>
      </c>
      <c r="DAJ335" s="301" t="s">
        <v>470</v>
      </c>
      <c r="DAK335" s="301" t="s">
        <v>470</v>
      </c>
      <c r="DAL335" s="301" t="s">
        <v>470</v>
      </c>
      <c r="DAM335" s="301" t="s">
        <v>470</v>
      </c>
      <c r="DAN335" s="301" t="s">
        <v>470</v>
      </c>
      <c r="DAO335" s="301" t="s">
        <v>470</v>
      </c>
      <c r="DAP335" s="301" t="s">
        <v>470</v>
      </c>
      <c r="DAQ335" s="301" t="s">
        <v>470</v>
      </c>
      <c r="DAR335" s="301" t="s">
        <v>470</v>
      </c>
      <c r="DAS335" s="301" t="s">
        <v>470</v>
      </c>
      <c r="DAT335" s="301" t="s">
        <v>470</v>
      </c>
      <c r="DAU335" s="301" t="s">
        <v>470</v>
      </c>
      <c r="DAV335" s="301" t="s">
        <v>470</v>
      </c>
      <c r="DAW335" s="301" t="s">
        <v>470</v>
      </c>
      <c r="DAX335" s="301" t="s">
        <v>470</v>
      </c>
      <c r="DAY335" s="301" t="s">
        <v>470</v>
      </c>
      <c r="DAZ335" s="301" t="s">
        <v>470</v>
      </c>
      <c r="DBA335" s="301" t="s">
        <v>470</v>
      </c>
      <c r="DBB335" s="301" t="s">
        <v>470</v>
      </c>
      <c r="DBC335" s="301" t="s">
        <v>470</v>
      </c>
      <c r="DBD335" s="301" t="s">
        <v>470</v>
      </c>
      <c r="DBE335" s="301" t="s">
        <v>470</v>
      </c>
      <c r="DBF335" s="301" t="s">
        <v>470</v>
      </c>
      <c r="DBG335" s="301" t="s">
        <v>470</v>
      </c>
      <c r="DBH335" s="301" t="s">
        <v>470</v>
      </c>
      <c r="DBI335" s="301" t="s">
        <v>470</v>
      </c>
      <c r="DBJ335" s="301" t="s">
        <v>470</v>
      </c>
      <c r="DBK335" s="301" t="s">
        <v>470</v>
      </c>
      <c r="DBL335" s="301" t="s">
        <v>470</v>
      </c>
      <c r="DBM335" s="301" t="s">
        <v>470</v>
      </c>
      <c r="DBN335" s="301" t="s">
        <v>470</v>
      </c>
      <c r="DBO335" s="301" t="s">
        <v>470</v>
      </c>
      <c r="DBP335" s="301" t="s">
        <v>470</v>
      </c>
      <c r="DBQ335" s="301" t="s">
        <v>470</v>
      </c>
      <c r="DBR335" s="301" t="s">
        <v>470</v>
      </c>
      <c r="DBS335" s="301" t="s">
        <v>470</v>
      </c>
      <c r="DBT335" s="301" t="s">
        <v>470</v>
      </c>
      <c r="DBU335" s="301" t="s">
        <v>470</v>
      </c>
      <c r="DBV335" s="301" t="s">
        <v>470</v>
      </c>
      <c r="DBW335" s="301" t="s">
        <v>470</v>
      </c>
      <c r="DBX335" s="301" t="s">
        <v>470</v>
      </c>
      <c r="DBY335" s="301" t="s">
        <v>470</v>
      </c>
      <c r="DBZ335" s="301" t="s">
        <v>470</v>
      </c>
      <c r="DCA335" s="301" t="s">
        <v>470</v>
      </c>
      <c r="DCB335" s="301" t="s">
        <v>470</v>
      </c>
      <c r="DCC335" s="301" t="s">
        <v>470</v>
      </c>
      <c r="DCD335" s="301" t="s">
        <v>470</v>
      </c>
      <c r="DCE335" s="301" t="s">
        <v>470</v>
      </c>
      <c r="DCF335" s="301" t="s">
        <v>470</v>
      </c>
      <c r="DCG335" s="301" t="s">
        <v>470</v>
      </c>
      <c r="DCH335" s="301" t="s">
        <v>470</v>
      </c>
      <c r="DCI335" s="301" t="s">
        <v>470</v>
      </c>
      <c r="DCJ335" s="301" t="s">
        <v>470</v>
      </c>
      <c r="DCK335" s="301" t="s">
        <v>470</v>
      </c>
      <c r="DCL335" s="301" t="s">
        <v>470</v>
      </c>
      <c r="DCM335" s="301" t="s">
        <v>470</v>
      </c>
      <c r="DCN335" s="301" t="s">
        <v>470</v>
      </c>
      <c r="DCO335" s="301" t="s">
        <v>470</v>
      </c>
      <c r="DCP335" s="301" t="s">
        <v>470</v>
      </c>
      <c r="DCQ335" s="301" t="s">
        <v>470</v>
      </c>
      <c r="DCR335" s="301" t="s">
        <v>470</v>
      </c>
      <c r="DCS335" s="301" t="s">
        <v>470</v>
      </c>
      <c r="DCT335" s="301" t="s">
        <v>470</v>
      </c>
      <c r="DCU335" s="301" t="s">
        <v>470</v>
      </c>
      <c r="DCV335" s="301" t="s">
        <v>470</v>
      </c>
      <c r="DCW335" s="301" t="s">
        <v>470</v>
      </c>
      <c r="DCX335" s="301" t="s">
        <v>470</v>
      </c>
      <c r="DCY335" s="301" t="s">
        <v>470</v>
      </c>
      <c r="DCZ335" s="301" t="s">
        <v>470</v>
      </c>
      <c r="DDA335" s="301" t="s">
        <v>470</v>
      </c>
      <c r="DDB335" s="301" t="s">
        <v>470</v>
      </c>
      <c r="DDC335" s="301" t="s">
        <v>470</v>
      </c>
      <c r="DDD335" s="301" t="s">
        <v>470</v>
      </c>
      <c r="DDE335" s="301" t="s">
        <v>470</v>
      </c>
      <c r="DDF335" s="301" t="s">
        <v>470</v>
      </c>
      <c r="DDG335" s="301" t="s">
        <v>470</v>
      </c>
      <c r="DDH335" s="301" t="s">
        <v>470</v>
      </c>
      <c r="DDI335" s="301" t="s">
        <v>470</v>
      </c>
      <c r="DDJ335" s="301" t="s">
        <v>470</v>
      </c>
      <c r="DDK335" s="301" t="s">
        <v>470</v>
      </c>
      <c r="DDL335" s="301" t="s">
        <v>470</v>
      </c>
      <c r="DDM335" s="301" t="s">
        <v>470</v>
      </c>
      <c r="DDN335" s="301" t="s">
        <v>470</v>
      </c>
      <c r="DDO335" s="301" t="s">
        <v>470</v>
      </c>
      <c r="DDP335" s="301" t="s">
        <v>470</v>
      </c>
      <c r="DDQ335" s="301" t="s">
        <v>470</v>
      </c>
      <c r="DDR335" s="301" t="s">
        <v>470</v>
      </c>
      <c r="DDS335" s="301" t="s">
        <v>470</v>
      </c>
      <c r="DDT335" s="301" t="s">
        <v>470</v>
      </c>
      <c r="DDU335" s="301" t="s">
        <v>470</v>
      </c>
      <c r="DDV335" s="301" t="s">
        <v>470</v>
      </c>
      <c r="DDW335" s="301" t="s">
        <v>470</v>
      </c>
      <c r="DDX335" s="301" t="s">
        <v>470</v>
      </c>
      <c r="DDY335" s="301" t="s">
        <v>470</v>
      </c>
      <c r="DDZ335" s="301" t="s">
        <v>470</v>
      </c>
      <c r="DEA335" s="301" t="s">
        <v>470</v>
      </c>
      <c r="DEB335" s="301" t="s">
        <v>470</v>
      </c>
      <c r="DEC335" s="301" t="s">
        <v>470</v>
      </c>
      <c r="DED335" s="301" t="s">
        <v>470</v>
      </c>
      <c r="DEE335" s="301" t="s">
        <v>470</v>
      </c>
      <c r="DEF335" s="301" t="s">
        <v>470</v>
      </c>
      <c r="DEG335" s="301" t="s">
        <v>470</v>
      </c>
      <c r="DEH335" s="301" t="s">
        <v>470</v>
      </c>
      <c r="DEI335" s="301" t="s">
        <v>470</v>
      </c>
      <c r="DEJ335" s="301" t="s">
        <v>470</v>
      </c>
      <c r="DEK335" s="301" t="s">
        <v>470</v>
      </c>
      <c r="DEL335" s="301" t="s">
        <v>470</v>
      </c>
      <c r="DEM335" s="301" t="s">
        <v>470</v>
      </c>
      <c r="DEN335" s="301" t="s">
        <v>470</v>
      </c>
      <c r="DEO335" s="301" t="s">
        <v>470</v>
      </c>
      <c r="DEP335" s="301" t="s">
        <v>470</v>
      </c>
      <c r="DEQ335" s="301" t="s">
        <v>470</v>
      </c>
      <c r="DER335" s="301" t="s">
        <v>470</v>
      </c>
      <c r="DES335" s="301" t="s">
        <v>470</v>
      </c>
      <c r="DET335" s="301" t="s">
        <v>470</v>
      </c>
      <c r="DEU335" s="301" t="s">
        <v>470</v>
      </c>
      <c r="DEV335" s="301" t="s">
        <v>470</v>
      </c>
      <c r="DEW335" s="301" t="s">
        <v>470</v>
      </c>
      <c r="DEX335" s="301" t="s">
        <v>470</v>
      </c>
      <c r="DEY335" s="301" t="s">
        <v>470</v>
      </c>
      <c r="DEZ335" s="301" t="s">
        <v>470</v>
      </c>
      <c r="DFA335" s="301" t="s">
        <v>470</v>
      </c>
      <c r="DFB335" s="301" t="s">
        <v>470</v>
      </c>
      <c r="DFC335" s="301" t="s">
        <v>470</v>
      </c>
      <c r="DFD335" s="301" t="s">
        <v>470</v>
      </c>
      <c r="DFE335" s="301" t="s">
        <v>470</v>
      </c>
      <c r="DFF335" s="301" t="s">
        <v>470</v>
      </c>
      <c r="DFG335" s="301" t="s">
        <v>470</v>
      </c>
      <c r="DFH335" s="301" t="s">
        <v>470</v>
      </c>
      <c r="DFI335" s="301" t="s">
        <v>470</v>
      </c>
      <c r="DFJ335" s="301" t="s">
        <v>470</v>
      </c>
      <c r="DFK335" s="301" t="s">
        <v>470</v>
      </c>
      <c r="DFL335" s="301" t="s">
        <v>470</v>
      </c>
      <c r="DFM335" s="301" t="s">
        <v>470</v>
      </c>
      <c r="DFN335" s="301" t="s">
        <v>470</v>
      </c>
      <c r="DFO335" s="301" t="s">
        <v>470</v>
      </c>
      <c r="DFP335" s="301" t="s">
        <v>470</v>
      </c>
      <c r="DFQ335" s="301" t="s">
        <v>470</v>
      </c>
      <c r="DFR335" s="301" t="s">
        <v>470</v>
      </c>
      <c r="DFS335" s="301" t="s">
        <v>470</v>
      </c>
      <c r="DFT335" s="301" t="s">
        <v>470</v>
      </c>
      <c r="DFU335" s="301" t="s">
        <v>470</v>
      </c>
      <c r="DFV335" s="301" t="s">
        <v>470</v>
      </c>
      <c r="DFW335" s="301" t="s">
        <v>470</v>
      </c>
      <c r="DFX335" s="301" t="s">
        <v>470</v>
      </c>
      <c r="DFY335" s="301" t="s">
        <v>470</v>
      </c>
      <c r="DFZ335" s="301" t="s">
        <v>470</v>
      </c>
      <c r="DGA335" s="301" t="s">
        <v>470</v>
      </c>
      <c r="DGB335" s="301" t="s">
        <v>470</v>
      </c>
      <c r="DGC335" s="301" t="s">
        <v>470</v>
      </c>
      <c r="DGD335" s="301" t="s">
        <v>470</v>
      </c>
      <c r="DGE335" s="301" t="s">
        <v>470</v>
      </c>
      <c r="DGF335" s="301" t="s">
        <v>470</v>
      </c>
      <c r="DGG335" s="301" t="s">
        <v>470</v>
      </c>
      <c r="DGH335" s="301" t="s">
        <v>470</v>
      </c>
      <c r="DGI335" s="301" t="s">
        <v>470</v>
      </c>
      <c r="DGJ335" s="301" t="s">
        <v>470</v>
      </c>
      <c r="DGK335" s="301" t="s">
        <v>470</v>
      </c>
      <c r="DGL335" s="301" t="s">
        <v>470</v>
      </c>
      <c r="DGM335" s="301" t="s">
        <v>470</v>
      </c>
      <c r="DGN335" s="301" t="s">
        <v>470</v>
      </c>
      <c r="DGO335" s="301" t="s">
        <v>470</v>
      </c>
      <c r="DGP335" s="301" t="s">
        <v>470</v>
      </c>
      <c r="DGQ335" s="301" t="s">
        <v>470</v>
      </c>
      <c r="DGR335" s="301" t="s">
        <v>470</v>
      </c>
      <c r="DGS335" s="301" t="s">
        <v>470</v>
      </c>
      <c r="DGT335" s="301" t="s">
        <v>470</v>
      </c>
      <c r="DGU335" s="301" t="s">
        <v>470</v>
      </c>
      <c r="DGV335" s="301" t="s">
        <v>470</v>
      </c>
      <c r="DGW335" s="301" t="s">
        <v>470</v>
      </c>
      <c r="DGX335" s="301" t="s">
        <v>470</v>
      </c>
      <c r="DGY335" s="301" t="s">
        <v>470</v>
      </c>
      <c r="DGZ335" s="301" t="s">
        <v>470</v>
      </c>
      <c r="DHA335" s="301" t="s">
        <v>470</v>
      </c>
      <c r="DHB335" s="301" t="s">
        <v>470</v>
      </c>
      <c r="DHC335" s="301" t="s">
        <v>470</v>
      </c>
      <c r="DHD335" s="301" t="s">
        <v>470</v>
      </c>
      <c r="DHE335" s="301" t="s">
        <v>470</v>
      </c>
      <c r="DHF335" s="301" t="s">
        <v>470</v>
      </c>
      <c r="DHG335" s="301" t="s">
        <v>470</v>
      </c>
      <c r="DHH335" s="301" t="s">
        <v>470</v>
      </c>
      <c r="DHI335" s="301" t="s">
        <v>470</v>
      </c>
      <c r="DHJ335" s="301" t="s">
        <v>470</v>
      </c>
      <c r="DHK335" s="301" t="s">
        <v>470</v>
      </c>
      <c r="DHL335" s="301" t="s">
        <v>470</v>
      </c>
      <c r="DHM335" s="301" t="s">
        <v>470</v>
      </c>
      <c r="DHN335" s="301" t="s">
        <v>470</v>
      </c>
      <c r="DHO335" s="301" t="s">
        <v>470</v>
      </c>
      <c r="DHP335" s="301" t="s">
        <v>470</v>
      </c>
      <c r="DHQ335" s="301" t="s">
        <v>470</v>
      </c>
      <c r="DHR335" s="301" t="s">
        <v>470</v>
      </c>
      <c r="DHS335" s="301" t="s">
        <v>470</v>
      </c>
      <c r="DHT335" s="301" t="s">
        <v>470</v>
      </c>
      <c r="DHU335" s="301" t="s">
        <v>470</v>
      </c>
      <c r="DHV335" s="301" t="s">
        <v>470</v>
      </c>
      <c r="DHW335" s="301" t="s">
        <v>470</v>
      </c>
      <c r="DHX335" s="301" t="s">
        <v>470</v>
      </c>
      <c r="DHY335" s="301" t="s">
        <v>470</v>
      </c>
      <c r="DHZ335" s="301" t="s">
        <v>470</v>
      </c>
      <c r="DIA335" s="301" t="s">
        <v>470</v>
      </c>
      <c r="DIB335" s="301" t="s">
        <v>470</v>
      </c>
      <c r="DIC335" s="301" t="s">
        <v>470</v>
      </c>
      <c r="DID335" s="301" t="s">
        <v>470</v>
      </c>
      <c r="DIE335" s="301" t="s">
        <v>470</v>
      </c>
      <c r="DIF335" s="301" t="s">
        <v>470</v>
      </c>
      <c r="DIG335" s="301" t="s">
        <v>470</v>
      </c>
      <c r="DIH335" s="301" t="s">
        <v>470</v>
      </c>
      <c r="DII335" s="301" t="s">
        <v>470</v>
      </c>
      <c r="DIJ335" s="301" t="s">
        <v>470</v>
      </c>
      <c r="DIK335" s="301" t="s">
        <v>470</v>
      </c>
      <c r="DIL335" s="301" t="s">
        <v>470</v>
      </c>
      <c r="DIM335" s="301" t="s">
        <v>470</v>
      </c>
      <c r="DIN335" s="301" t="s">
        <v>470</v>
      </c>
      <c r="DIO335" s="301" t="s">
        <v>470</v>
      </c>
      <c r="DIP335" s="301" t="s">
        <v>470</v>
      </c>
      <c r="DIQ335" s="301" t="s">
        <v>470</v>
      </c>
      <c r="DIR335" s="301" t="s">
        <v>470</v>
      </c>
      <c r="DIS335" s="301" t="s">
        <v>470</v>
      </c>
      <c r="DIT335" s="301" t="s">
        <v>470</v>
      </c>
      <c r="DIU335" s="301" t="s">
        <v>470</v>
      </c>
      <c r="DIV335" s="301" t="s">
        <v>470</v>
      </c>
      <c r="DIW335" s="301" t="s">
        <v>470</v>
      </c>
      <c r="DIX335" s="301" t="s">
        <v>470</v>
      </c>
      <c r="DIY335" s="301" t="s">
        <v>470</v>
      </c>
      <c r="DIZ335" s="301" t="s">
        <v>470</v>
      </c>
      <c r="DJA335" s="301" t="s">
        <v>470</v>
      </c>
      <c r="DJB335" s="301" t="s">
        <v>470</v>
      </c>
      <c r="DJC335" s="301" t="s">
        <v>470</v>
      </c>
      <c r="DJD335" s="301" t="s">
        <v>470</v>
      </c>
      <c r="DJE335" s="301" t="s">
        <v>470</v>
      </c>
      <c r="DJF335" s="301" t="s">
        <v>470</v>
      </c>
      <c r="DJG335" s="301" t="s">
        <v>470</v>
      </c>
      <c r="DJH335" s="301" t="s">
        <v>470</v>
      </c>
      <c r="DJI335" s="301" t="s">
        <v>470</v>
      </c>
      <c r="DJJ335" s="301" t="s">
        <v>470</v>
      </c>
      <c r="DJK335" s="301" t="s">
        <v>470</v>
      </c>
      <c r="DJL335" s="301" t="s">
        <v>470</v>
      </c>
      <c r="DJM335" s="301" t="s">
        <v>470</v>
      </c>
      <c r="DJN335" s="301" t="s">
        <v>470</v>
      </c>
      <c r="DJO335" s="301" t="s">
        <v>470</v>
      </c>
      <c r="DJP335" s="301" t="s">
        <v>470</v>
      </c>
      <c r="DJQ335" s="301" t="s">
        <v>470</v>
      </c>
      <c r="DJR335" s="301" t="s">
        <v>470</v>
      </c>
      <c r="DJS335" s="301" t="s">
        <v>470</v>
      </c>
      <c r="DJT335" s="301" t="s">
        <v>470</v>
      </c>
      <c r="DJU335" s="301" t="s">
        <v>470</v>
      </c>
      <c r="DJV335" s="301" t="s">
        <v>470</v>
      </c>
      <c r="DJW335" s="301" t="s">
        <v>470</v>
      </c>
      <c r="DJX335" s="301" t="s">
        <v>470</v>
      </c>
      <c r="DJY335" s="301" t="s">
        <v>470</v>
      </c>
      <c r="DJZ335" s="301" t="s">
        <v>470</v>
      </c>
      <c r="DKA335" s="301" t="s">
        <v>470</v>
      </c>
      <c r="DKB335" s="301" t="s">
        <v>470</v>
      </c>
      <c r="DKC335" s="301" t="s">
        <v>470</v>
      </c>
      <c r="DKD335" s="301" t="s">
        <v>470</v>
      </c>
      <c r="DKE335" s="301" t="s">
        <v>470</v>
      </c>
      <c r="DKF335" s="301" t="s">
        <v>470</v>
      </c>
      <c r="DKG335" s="301" t="s">
        <v>470</v>
      </c>
      <c r="DKH335" s="301" t="s">
        <v>470</v>
      </c>
      <c r="DKI335" s="301" t="s">
        <v>470</v>
      </c>
      <c r="DKJ335" s="301" t="s">
        <v>470</v>
      </c>
      <c r="DKK335" s="301" t="s">
        <v>470</v>
      </c>
      <c r="DKL335" s="301" t="s">
        <v>470</v>
      </c>
      <c r="DKM335" s="301" t="s">
        <v>470</v>
      </c>
      <c r="DKN335" s="301" t="s">
        <v>470</v>
      </c>
      <c r="DKO335" s="301" t="s">
        <v>470</v>
      </c>
      <c r="DKP335" s="301" t="s">
        <v>470</v>
      </c>
      <c r="DKQ335" s="301" t="s">
        <v>470</v>
      </c>
      <c r="DKR335" s="301" t="s">
        <v>470</v>
      </c>
      <c r="DKS335" s="301" t="s">
        <v>470</v>
      </c>
      <c r="DKT335" s="301" t="s">
        <v>470</v>
      </c>
      <c r="DKU335" s="301" t="s">
        <v>470</v>
      </c>
      <c r="DKV335" s="301" t="s">
        <v>470</v>
      </c>
      <c r="DKW335" s="301" t="s">
        <v>470</v>
      </c>
      <c r="DKX335" s="301" t="s">
        <v>470</v>
      </c>
      <c r="DKY335" s="301" t="s">
        <v>470</v>
      </c>
      <c r="DKZ335" s="301" t="s">
        <v>470</v>
      </c>
      <c r="DLA335" s="301" t="s">
        <v>470</v>
      </c>
      <c r="DLB335" s="301" t="s">
        <v>470</v>
      </c>
      <c r="DLC335" s="301" t="s">
        <v>470</v>
      </c>
      <c r="DLD335" s="301" t="s">
        <v>470</v>
      </c>
      <c r="DLE335" s="301" t="s">
        <v>470</v>
      </c>
      <c r="DLF335" s="301" t="s">
        <v>470</v>
      </c>
      <c r="DLG335" s="301" t="s">
        <v>470</v>
      </c>
      <c r="DLH335" s="301" t="s">
        <v>470</v>
      </c>
      <c r="DLI335" s="301" t="s">
        <v>470</v>
      </c>
      <c r="DLJ335" s="301" t="s">
        <v>470</v>
      </c>
      <c r="DLK335" s="301" t="s">
        <v>470</v>
      </c>
      <c r="DLL335" s="301" t="s">
        <v>470</v>
      </c>
      <c r="DLM335" s="301" t="s">
        <v>470</v>
      </c>
      <c r="DLN335" s="301" t="s">
        <v>470</v>
      </c>
      <c r="DLO335" s="301" t="s">
        <v>470</v>
      </c>
      <c r="DLP335" s="301" t="s">
        <v>470</v>
      </c>
      <c r="DLQ335" s="301" t="s">
        <v>470</v>
      </c>
      <c r="DLR335" s="301" t="s">
        <v>470</v>
      </c>
      <c r="DLS335" s="301" t="s">
        <v>470</v>
      </c>
      <c r="DLT335" s="301" t="s">
        <v>470</v>
      </c>
      <c r="DLU335" s="301" t="s">
        <v>470</v>
      </c>
      <c r="DLV335" s="301" t="s">
        <v>470</v>
      </c>
      <c r="DLW335" s="301" t="s">
        <v>470</v>
      </c>
      <c r="DLX335" s="301" t="s">
        <v>470</v>
      </c>
      <c r="DLY335" s="301" t="s">
        <v>470</v>
      </c>
      <c r="DLZ335" s="301" t="s">
        <v>470</v>
      </c>
      <c r="DMA335" s="301" t="s">
        <v>470</v>
      </c>
      <c r="DMB335" s="301" t="s">
        <v>470</v>
      </c>
      <c r="DMC335" s="301" t="s">
        <v>470</v>
      </c>
      <c r="DMD335" s="301" t="s">
        <v>470</v>
      </c>
      <c r="DME335" s="301" t="s">
        <v>470</v>
      </c>
      <c r="DMF335" s="301" t="s">
        <v>470</v>
      </c>
      <c r="DMG335" s="301" t="s">
        <v>470</v>
      </c>
      <c r="DMH335" s="301" t="s">
        <v>470</v>
      </c>
      <c r="DMI335" s="301" t="s">
        <v>470</v>
      </c>
      <c r="DMJ335" s="301" t="s">
        <v>470</v>
      </c>
      <c r="DMK335" s="301" t="s">
        <v>470</v>
      </c>
      <c r="DML335" s="301" t="s">
        <v>470</v>
      </c>
      <c r="DMM335" s="301" t="s">
        <v>470</v>
      </c>
      <c r="DMN335" s="301" t="s">
        <v>470</v>
      </c>
      <c r="DMO335" s="301" t="s">
        <v>470</v>
      </c>
      <c r="DMP335" s="301" t="s">
        <v>470</v>
      </c>
      <c r="DMQ335" s="301" t="s">
        <v>470</v>
      </c>
      <c r="DMR335" s="301" t="s">
        <v>470</v>
      </c>
      <c r="DMS335" s="301" t="s">
        <v>470</v>
      </c>
      <c r="DMT335" s="301" t="s">
        <v>470</v>
      </c>
      <c r="DMU335" s="301" t="s">
        <v>470</v>
      </c>
      <c r="DMV335" s="301" t="s">
        <v>470</v>
      </c>
      <c r="DMW335" s="301" t="s">
        <v>470</v>
      </c>
      <c r="DMX335" s="301" t="s">
        <v>470</v>
      </c>
      <c r="DMY335" s="301" t="s">
        <v>470</v>
      </c>
      <c r="DMZ335" s="301" t="s">
        <v>470</v>
      </c>
      <c r="DNA335" s="301" t="s">
        <v>470</v>
      </c>
      <c r="DNB335" s="301" t="s">
        <v>470</v>
      </c>
      <c r="DNC335" s="301" t="s">
        <v>470</v>
      </c>
      <c r="DND335" s="301" t="s">
        <v>470</v>
      </c>
      <c r="DNE335" s="301" t="s">
        <v>470</v>
      </c>
      <c r="DNF335" s="301" t="s">
        <v>470</v>
      </c>
      <c r="DNG335" s="301" t="s">
        <v>470</v>
      </c>
      <c r="DNH335" s="301" t="s">
        <v>470</v>
      </c>
      <c r="DNI335" s="301" t="s">
        <v>470</v>
      </c>
      <c r="DNJ335" s="301" t="s">
        <v>470</v>
      </c>
      <c r="DNK335" s="301" t="s">
        <v>470</v>
      </c>
      <c r="DNL335" s="301" t="s">
        <v>470</v>
      </c>
      <c r="DNM335" s="301" t="s">
        <v>470</v>
      </c>
      <c r="DNN335" s="301" t="s">
        <v>470</v>
      </c>
      <c r="DNO335" s="301" t="s">
        <v>470</v>
      </c>
      <c r="DNP335" s="301" t="s">
        <v>470</v>
      </c>
      <c r="DNQ335" s="301" t="s">
        <v>470</v>
      </c>
      <c r="DNR335" s="301" t="s">
        <v>470</v>
      </c>
      <c r="DNS335" s="301" t="s">
        <v>470</v>
      </c>
      <c r="DNT335" s="301" t="s">
        <v>470</v>
      </c>
      <c r="DNU335" s="301" t="s">
        <v>470</v>
      </c>
      <c r="DNV335" s="301" t="s">
        <v>470</v>
      </c>
      <c r="DNW335" s="301" t="s">
        <v>470</v>
      </c>
      <c r="DNX335" s="301" t="s">
        <v>470</v>
      </c>
      <c r="DNY335" s="301" t="s">
        <v>470</v>
      </c>
      <c r="DNZ335" s="301" t="s">
        <v>470</v>
      </c>
      <c r="DOA335" s="301" t="s">
        <v>470</v>
      </c>
      <c r="DOB335" s="301" t="s">
        <v>470</v>
      </c>
      <c r="DOC335" s="301" t="s">
        <v>470</v>
      </c>
      <c r="DOD335" s="301" t="s">
        <v>470</v>
      </c>
      <c r="DOE335" s="301" t="s">
        <v>470</v>
      </c>
      <c r="DOF335" s="301" t="s">
        <v>470</v>
      </c>
      <c r="DOG335" s="301" t="s">
        <v>470</v>
      </c>
      <c r="DOH335" s="301" t="s">
        <v>470</v>
      </c>
      <c r="DOI335" s="301" t="s">
        <v>470</v>
      </c>
      <c r="DOJ335" s="301" t="s">
        <v>470</v>
      </c>
      <c r="DOK335" s="301" t="s">
        <v>470</v>
      </c>
      <c r="DOL335" s="301" t="s">
        <v>470</v>
      </c>
      <c r="DOM335" s="301" t="s">
        <v>470</v>
      </c>
      <c r="DON335" s="301" t="s">
        <v>470</v>
      </c>
      <c r="DOO335" s="301" t="s">
        <v>470</v>
      </c>
      <c r="DOP335" s="301" t="s">
        <v>470</v>
      </c>
      <c r="DOQ335" s="301" t="s">
        <v>470</v>
      </c>
      <c r="DOR335" s="301" t="s">
        <v>470</v>
      </c>
      <c r="DOS335" s="301" t="s">
        <v>470</v>
      </c>
      <c r="DOT335" s="301" t="s">
        <v>470</v>
      </c>
      <c r="DOU335" s="301" t="s">
        <v>470</v>
      </c>
      <c r="DOV335" s="301" t="s">
        <v>470</v>
      </c>
      <c r="DOW335" s="301" t="s">
        <v>470</v>
      </c>
      <c r="DOX335" s="301" t="s">
        <v>470</v>
      </c>
      <c r="DOY335" s="301" t="s">
        <v>470</v>
      </c>
      <c r="DOZ335" s="301" t="s">
        <v>470</v>
      </c>
      <c r="DPA335" s="301" t="s">
        <v>470</v>
      </c>
      <c r="DPB335" s="301" t="s">
        <v>470</v>
      </c>
      <c r="DPC335" s="301" t="s">
        <v>470</v>
      </c>
      <c r="DPD335" s="301" t="s">
        <v>470</v>
      </c>
      <c r="DPE335" s="301" t="s">
        <v>470</v>
      </c>
      <c r="DPF335" s="301" t="s">
        <v>470</v>
      </c>
      <c r="DPG335" s="301" t="s">
        <v>470</v>
      </c>
      <c r="DPH335" s="301" t="s">
        <v>470</v>
      </c>
      <c r="DPI335" s="301" t="s">
        <v>470</v>
      </c>
      <c r="DPJ335" s="301" t="s">
        <v>470</v>
      </c>
      <c r="DPK335" s="301" t="s">
        <v>470</v>
      </c>
      <c r="DPL335" s="301" t="s">
        <v>470</v>
      </c>
      <c r="DPM335" s="301" t="s">
        <v>470</v>
      </c>
      <c r="DPN335" s="301" t="s">
        <v>470</v>
      </c>
      <c r="DPO335" s="301" t="s">
        <v>470</v>
      </c>
      <c r="DPP335" s="301" t="s">
        <v>470</v>
      </c>
      <c r="DPQ335" s="301" t="s">
        <v>470</v>
      </c>
      <c r="DPR335" s="301" t="s">
        <v>470</v>
      </c>
      <c r="DPS335" s="301" t="s">
        <v>470</v>
      </c>
      <c r="DPT335" s="301" t="s">
        <v>470</v>
      </c>
      <c r="DPU335" s="301" t="s">
        <v>470</v>
      </c>
      <c r="DPV335" s="301" t="s">
        <v>470</v>
      </c>
      <c r="DPW335" s="301" t="s">
        <v>470</v>
      </c>
      <c r="DPX335" s="301" t="s">
        <v>470</v>
      </c>
      <c r="DPY335" s="301" t="s">
        <v>470</v>
      </c>
      <c r="DPZ335" s="301" t="s">
        <v>470</v>
      </c>
      <c r="DQA335" s="301" t="s">
        <v>470</v>
      </c>
      <c r="DQB335" s="301" t="s">
        <v>470</v>
      </c>
      <c r="DQC335" s="301" t="s">
        <v>470</v>
      </c>
      <c r="DQD335" s="301" t="s">
        <v>470</v>
      </c>
      <c r="DQE335" s="301" t="s">
        <v>470</v>
      </c>
      <c r="DQF335" s="301" t="s">
        <v>470</v>
      </c>
      <c r="DQG335" s="301" t="s">
        <v>470</v>
      </c>
      <c r="DQH335" s="301" t="s">
        <v>470</v>
      </c>
      <c r="DQI335" s="301" t="s">
        <v>470</v>
      </c>
      <c r="DQJ335" s="301" t="s">
        <v>470</v>
      </c>
      <c r="DQK335" s="301" t="s">
        <v>470</v>
      </c>
      <c r="DQL335" s="301" t="s">
        <v>470</v>
      </c>
      <c r="DQM335" s="301" t="s">
        <v>470</v>
      </c>
      <c r="DQN335" s="301" t="s">
        <v>470</v>
      </c>
      <c r="DQO335" s="301" t="s">
        <v>470</v>
      </c>
      <c r="DQP335" s="301" t="s">
        <v>470</v>
      </c>
      <c r="DQQ335" s="301" t="s">
        <v>470</v>
      </c>
      <c r="DQR335" s="301" t="s">
        <v>470</v>
      </c>
      <c r="DQS335" s="301" t="s">
        <v>470</v>
      </c>
      <c r="DQT335" s="301" t="s">
        <v>470</v>
      </c>
      <c r="DQU335" s="301" t="s">
        <v>470</v>
      </c>
      <c r="DQV335" s="301" t="s">
        <v>470</v>
      </c>
      <c r="DQW335" s="301" t="s">
        <v>470</v>
      </c>
      <c r="DQX335" s="301" t="s">
        <v>470</v>
      </c>
      <c r="DQY335" s="301" t="s">
        <v>470</v>
      </c>
      <c r="DQZ335" s="301" t="s">
        <v>470</v>
      </c>
      <c r="DRA335" s="301" t="s">
        <v>470</v>
      </c>
      <c r="DRB335" s="301" t="s">
        <v>470</v>
      </c>
      <c r="DRC335" s="301" t="s">
        <v>470</v>
      </c>
      <c r="DRD335" s="301" t="s">
        <v>470</v>
      </c>
      <c r="DRE335" s="301" t="s">
        <v>470</v>
      </c>
      <c r="DRF335" s="301" t="s">
        <v>470</v>
      </c>
      <c r="DRG335" s="301" t="s">
        <v>470</v>
      </c>
      <c r="DRH335" s="301" t="s">
        <v>470</v>
      </c>
      <c r="DRI335" s="301" t="s">
        <v>470</v>
      </c>
      <c r="DRJ335" s="301" t="s">
        <v>470</v>
      </c>
      <c r="DRK335" s="301" t="s">
        <v>470</v>
      </c>
      <c r="DRL335" s="301" t="s">
        <v>470</v>
      </c>
      <c r="DRM335" s="301" t="s">
        <v>470</v>
      </c>
      <c r="DRN335" s="301" t="s">
        <v>470</v>
      </c>
      <c r="DRO335" s="301" t="s">
        <v>470</v>
      </c>
      <c r="DRP335" s="301" t="s">
        <v>470</v>
      </c>
      <c r="DRQ335" s="301" t="s">
        <v>470</v>
      </c>
      <c r="DRR335" s="301" t="s">
        <v>470</v>
      </c>
      <c r="DRS335" s="301" t="s">
        <v>470</v>
      </c>
      <c r="DRT335" s="301" t="s">
        <v>470</v>
      </c>
      <c r="DRU335" s="301" t="s">
        <v>470</v>
      </c>
      <c r="DRV335" s="301" t="s">
        <v>470</v>
      </c>
      <c r="DRW335" s="301" t="s">
        <v>470</v>
      </c>
      <c r="DRX335" s="301" t="s">
        <v>470</v>
      </c>
      <c r="DRY335" s="301" t="s">
        <v>470</v>
      </c>
      <c r="DRZ335" s="301" t="s">
        <v>470</v>
      </c>
      <c r="DSA335" s="301" t="s">
        <v>470</v>
      </c>
      <c r="DSB335" s="301" t="s">
        <v>470</v>
      </c>
      <c r="DSC335" s="301" t="s">
        <v>470</v>
      </c>
      <c r="DSD335" s="301" t="s">
        <v>470</v>
      </c>
      <c r="DSE335" s="301" t="s">
        <v>470</v>
      </c>
      <c r="DSF335" s="301" t="s">
        <v>470</v>
      </c>
      <c r="DSG335" s="301" t="s">
        <v>470</v>
      </c>
      <c r="DSH335" s="301" t="s">
        <v>470</v>
      </c>
      <c r="DSI335" s="301" t="s">
        <v>470</v>
      </c>
      <c r="DSJ335" s="301" t="s">
        <v>470</v>
      </c>
      <c r="DSK335" s="301" t="s">
        <v>470</v>
      </c>
      <c r="DSL335" s="301" t="s">
        <v>470</v>
      </c>
      <c r="DSM335" s="301" t="s">
        <v>470</v>
      </c>
      <c r="DSN335" s="301" t="s">
        <v>470</v>
      </c>
      <c r="DSO335" s="301" t="s">
        <v>470</v>
      </c>
      <c r="DSP335" s="301" t="s">
        <v>470</v>
      </c>
      <c r="DSQ335" s="301" t="s">
        <v>470</v>
      </c>
      <c r="DSR335" s="301" t="s">
        <v>470</v>
      </c>
      <c r="DSS335" s="301" t="s">
        <v>470</v>
      </c>
      <c r="DST335" s="301" t="s">
        <v>470</v>
      </c>
      <c r="DSU335" s="301" t="s">
        <v>470</v>
      </c>
      <c r="DSV335" s="301" t="s">
        <v>470</v>
      </c>
      <c r="DSW335" s="301" t="s">
        <v>470</v>
      </c>
      <c r="DSX335" s="301" t="s">
        <v>470</v>
      </c>
      <c r="DSY335" s="301" t="s">
        <v>470</v>
      </c>
      <c r="DSZ335" s="301" t="s">
        <v>470</v>
      </c>
      <c r="DTA335" s="301" t="s">
        <v>470</v>
      </c>
      <c r="DTB335" s="301" t="s">
        <v>470</v>
      </c>
      <c r="DTC335" s="301" t="s">
        <v>470</v>
      </c>
      <c r="DTD335" s="301" t="s">
        <v>470</v>
      </c>
      <c r="DTE335" s="301" t="s">
        <v>470</v>
      </c>
      <c r="DTF335" s="301" t="s">
        <v>470</v>
      </c>
      <c r="DTG335" s="301" t="s">
        <v>470</v>
      </c>
      <c r="DTH335" s="301" t="s">
        <v>470</v>
      </c>
      <c r="DTI335" s="301" t="s">
        <v>470</v>
      </c>
      <c r="DTJ335" s="301" t="s">
        <v>470</v>
      </c>
      <c r="DTK335" s="301" t="s">
        <v>470</v>
      </c>
      <c r="DTL335" s="301" t="s">
        <v>470</v>
      </c>
      <c r="DTM335" s="301" t="s">
        <v>470</v>
      </c>
      <c r="DTN335" s="301" t="s">
        <v>470</v>
      </c>
      <c r="DTO335" s="301" t="s">
        <v>470</v>
      </c>
      <c r="DTP335" s="301" t="s">
        <v>470</v>
      </c>
      <c r="DTQ335" s="301" t="s">
        <v>470</v>
      </c>
      <c r="DTR335" s="301" t="s">
        <v>470</v>
      </c>
      <c r="DTS335" s="301" t="s">
        <v>470</v>
      </c>
      <c r="DTT335" s="301" t="s">
        <v>470</v>
      </c>
      <c r="DTU335" s="301" t="s">
        <v>470</v>
      </c>
      <c r="DTV335" s="301" t="s">
        <v>470</v>
      </c>
      <c r="DTW335" s="301" t="s">
        <v>470</v>
      </c>
      <c r="DTX335" s="301" t="s">
        <v>470</v>
      </c>
      <c r="DTY335" s="301" t="s">
        <v>470</v>
      </c>
      <c r="DTZ335" s="301" t="s">
        <v>470</v>
      </c>
      <c r="DUA335" s="301" t="s">
        <v>470</v>
      </c>
      <c r="DUB335" s="301" t="s">
        <v>470</v>
      </c>
      <c r="DUC335" s="301" t="s">
        <v>470</v>
      </c>
      <c r="DUD335" s="301" t="s">
        <v>470</v>
      </c>
      <c r="DUE335" s="301" t="s">
        <v>470</v>
      </c>
      <c r="DUF335" s="301" t="s">
        <v>470</v>
      </c>
      <c r="DUG335" s="301" t="s">
        <v>470</v>
      </c>
      <c r="DUH335" s="301" t="s">
        <v>470</v>
      </c>
      <c r="DUI335" s="301" t="s">
        <v>470</v>
      </c>
      <c r="DUJ335" s="301" t="s">
        <v>470</v>
      </c>
      <c r="DUK335" s="301" t="s">
        <v>470</v>
      </c>
      <c r="DUL335" s="301" t="s">
        <v>470</v>
      </c>
      <c r="DUM335" s="301" t="s">
        <v>470</v>
      </c>
      <c r="DUN335" s="301" t="s">
        <v>470</v>
      </c>
      <c r="DUO335" s="301" t="s">
        <v>470</v>
      </c>
      <c r="DUP335" s="301" t="s">
        <v>470</v>
      </c>
      <c r="DUQ335" s="301" t="s">
        <v>470</v>
      </c>
      <c r="DUR335" s="301" t="s">
        <v>470</v>
      </c>
      <c r="DUS335" s="301" t="s">
        <v>470</v>
      </c>
      <c r="DUT335" s="301" t="s">
        <v>470</v>
      </c>
      <c r="DUU335" s="301" t="s">
        <v>470</v>
      </c>
      <c r="DUV335" s="301" t="s">
        <v>470</v>
      </c>
      <c r="DUW335" s="301" t="s">
        <v>470</v>
      </c>
      <c r="DUX335" s="301" t="s">
        <v>470</v>
      </c>
      <c r="DUY335" s="301" t="s">
        <v>470</v>
      </c>
      <c r="DUZ335" s="301" t="s">
        <v>470</v>
      </c>
      <c r="DVA335" s="301" t="s">
        <v>470</v>
      </c>
      <c r="DVB335" s="301" t="s">
        <v>470</v>
      </c>
      <c r="DVC335" s="301" t="s">
        <v>470</v>
      </c>
      <c r="DVD335" s="301" t="s">
        <v>470</v>
      </c>
      <c r="DVE335" s="301" t="s">
        <v>470</v>
      </c>
      <c r="DVF335" s="301" t="s">
        <v>470</v>
      </c>
      <c r="DVG335" s="301" t="s">
        <v>470</v>
      </c>
      <c r="DVH335" s="301" t="s">
        <v>470</v>
      </c>
      <c r="DVI335" s="301" t="s">
        <v>470</v>
      </c>
      <c r="DVJ335" s="301" t="s">
        <v>470</v>
      </c>
      <c r="DVK335" s="301" t="s">
        <v>470</v>
      </c>
      <c r="DVL335" s="301" t="s">
        <v>470</v>
      </c>
      <c r="DVM335" s="301" t="s">
        <v>470</v>
      </c>
      <c r="DVN335" s="301" t="s">
        <v>470</v>
      </c>
      <c r="DVO335" s="301" t="s">
        <v>470</v>
      </c>
      <c r="DVP335" s="301" t="s">
        <v>470</v>
      </c>
      <c r="DVQ335" s="301" t="s">
        <v>470</v>
      </c>
      <c r="DVR335" s="301" t="s">
        <v>470</v>
      </c>
      <c r="DVS335" s="301" t="s">
        <v>470</v>
      </c>
      <c r="DVT335" s="301" t="s">
        <v>470</v>
      </c>
      <c r="DVU335" s="301" t="s">
        <v>470</v>
      </c>
      <c r="DVV335" s="301" t="s">
        <v>470</v>
      </c>
      <c r="DVW335" s="301" t="s">
        <v>470</v>
      </c>
      <c r="DVX335" s="301" t="s">
        <v>470</v>
      </c>
      <c r="DVY335" s="301" t="s">
        <v>470</v>
      </c>
      <c r="DVZ335" s="301" t="s">
        <v>470</v>
      </c>
      <c r="DWA335" s="301" t="s">
        <v>470</v>
      </c>
      <c r="DWB335" s="301" t="s">
        <v>470</v>
      </c>
      <c r="DWC335" s="301" t="s">
        <v>470</v>
      </c>
      <c r="DWD335" s="301" t="s">
        <v>470</v>
      </c>
      <c r="DWE335" s="301" t="s">
        <v>470</v>
      </c>
      <c r="DWF335" s="301" t="s">
        <v>470</v>
      </c>
      <c r="DWG335" s="301" t="s">
        <v>470</v>
      </c>
      <c r="DWH335" s="301" t="s">
        <v>470</v>
      </c>
      <c r="DWI335" s="301" t="s">
        <v>470</v>
      </c>
      <c r="DWJ335" s="301" t="s">
        <v>470</v>
      </c>
      <c r="DWK335" s="301" t="s">
        <v>470</v>
      </c>
      <c r="DWL335" s="301" t="s">
        <v>470</v>
      </c>
      <c r="DWM335" s="301" t="s">
        <v>470</v>
      </c>
      <c r="DWN335" s="301" t="s">
        <v>470</v>
      </c>
      <c r="DWO335" s="301" t="s">
        <v>470</v>
      </c>
      <c r="DWP335" s="301" t="s">
        <v>470</v>
      </c>
      <c r="DWQ335" s="301" t="s">
        <v>470</v>
      </c>
      <c r="DWR335" s="301" t="s">
        <v>470</v>
      </c>
      <c r="DWS335" s="301" t="s">
        <v>470</v>
      </c>
      <c r="DWT335" s="301" t="s">
        <v>470</v>
      </c>
      <c r="DWU335" s="301" t="s">
        <v>470</v>
      </c>
      <c r="DWV335" s="301" t="s">
        <v>470</v>
      </c>
      <c r="DWW335" s="301" t="s">
        <v>470</v>
      </c>
      <c r="DWX335" s="301" t="s">
        <v>470</v>
      </c>
      <c r="DWY335" s="301" t="s">
        <v>470</v>
      </c>
      <c r="DWZ335" s="301" t="s">
        <v>470</v>
      </c>
      <c r="DXA335" s="301" t="s">
        <v>470</v>
      </c>
      <c r="DXB335" s="301" t="s">
        <v>470</v>
      </c>
      <c r="DXC335" s="301" t="s">
        <v>470</v>
      </c>
      <c r="DXD335" s="301" t="s">
        <v>470</v>
      </c>
      <c r="DXE335" s="301" t="s">
        <v>470</v>
      </c>
      <c r="DXF335" s="301" t="s">
        <v>470</v>
      </c>
      <c r="DXG335" s="301" t="s">
        <v>470</v>
      </c>
      <c r="DXH335" s="301" t="s">
        <v>470</v>
      </c>
      <c r="DXI335" s="301" t="s">
        <v>470</v>
      </c>
      <c r="DXJ335" s="301" t="s">
        <v>470</v>
      </c>
      <c r="DXK335" s="301" t="s">
        <v>470</v>
      </c>
      <c r="DXL335" s="301" t="s">
        <v>470</v>
      </c>
      <c r="DXM335" s="301" t="s">
        <v>470</v>
      </c>
      <c r="DXN335" s="301" t="s">
        <v>470</v>
      </c>
      <c r="DXO335" s="301" t="s">
        <v>470</v>
      </c>
      <c r="DXP335" s="301" t="s">
        <v>470</v>
      </c>
      <c r="DXQ335" s="301" t="s">
        <v>470</v>
      </c>
      <c r="DXR335" s="301" t="s">
        <v>470</v>
      </c>
      <c r="DXS335" s="301" t="s">
        <v>470</v>
      </c>
      <c r="DXT335" s="301" t="s">
        <v>470</v>
      </c>
      <c r="DXU335" s="301" t="s">
        <v>470</v>
      </c>
      <c r="DXV335" s="301" t="s">
        <v>470</v>
      </c>
      <c r="DXW335" s="301" t="s">
        <v>470</v>
      </c>
      <c r="DXX335" s="301" t="s">
        <v>470</v>
      </c>
      <c r="DXY335" s="301" t="s">
        <v>470</v>
      </c>
      <c r="DXZ335" s="301" t="s">
        <v>470</v>
      </c>
      <c r="DYA335" s="301" t="s">
        <v>470</v>
      </c>
      <c r="DYB335" s="301" t="s">
        <v>470</v>
      </c>
      <c r="DYC335" s="301" t="s">
        <v>470</v>
      </c>
      <c r="DYD335" s="301" t="s">
        <v>470</v>
      </c>
      <c r="DYE335" s="301" t="s">
        <v>470</v>
      </c>
      <c r="DYF335" s="301" t="s">
        <v>470</v>
      </c>
      <c r="DYG335" s="301" t="s">
        <v>470</v>
      </c>
      <c r="DYH335" s="301" t="s">
        <v>470</v>
      </c>
      <c r="DYI335" s="301" t="s">
        <v>470</v>
      </c>
      <c r="DYJ335" s="301" t="s">
        <v>470</v>
      </c>
      <c r="DYK335" s="301" t="s">
        <v>470</v>
      </c>
      <c r="DYL335" s="301" t="s">
        <v>470</v>
      </c>
      <c r="DYM335" s="301" t="s">
        <v>470</v>
      </c>
      <c r="DYN335" s="301" t="s">
        <v>470</v>
      </c>
      <c r="DYO335" s="301" t="s">
        <v>470</v>
      </c>
      <c r="DYP335" s="301" t="s">
        <v>470</v>
      </c>
      <c r="DYQ335" s="301" t="s">
        <v>470</v>
      </c>
      <c r="DYR335" s="301" t="s">
        <v>470</v>
      </c>
      <c r="DYS335" s="301" t="s">
        <v>470</v>
      </c>
      <c r="DYT335" s="301" t="s">
        <v>470</v>
      </c>
      <c r="DYU335" s="301" t="s">
        <v>470</v>
      </c>
      <c r="DYV335" s="301" t="s">
        <v>470</v>
      </c>
      <c r="DYW335" s="301" t="s">
        <v>470</v>
      </c>
      <c r="DYX335" s="301" t="s">
        <v>470</v>
      </c>
      <c r="DYY335" s="301" t="s">
        <v>470</v>
      </c>
      <c r="DYZ335" s="301" t="s">
        <v>470</v>
      </c>
      <c r="DZA335" s="301" t="s">
        <v>470</v>
      </c>
      <c r="DZB335" s="301" t="s">
        <v>470</v>
      </c>
      <c r="DZC335" s="301" t="s">
        <v>470</v>
      </c>
      <c r="DZD335" s="301" t="s">
        <v>470</v>
      </c>
      <c r="DZE335" s="301" t="s">
        <v>470</v>
      </c>
      <c r="DZF335" s="301" t="s">
        <v>470</v>
      </c>
      <c r="DZG335" s="301" t="s">
        <v>470</v>
      </c>
      <c r="DZH335" s="301" t="s">
        <v>470</v>
      </c>
      <c r="DZI335" s="301" t="s">
        <v>470</v>
      </c>
      <c r="DZJ335" s="301" t="s">
        <v>470</v>
      </c>
      <c r="DZK335" s="301" t="s">
        <v>470</v>
      </c>
      <c r="DZL335" s="301" t="s">
        <v>470</v>
      </c>
      <c r="DZM335" s="301" t="s">
        <v>470</v>
      </c>
      <c r="DZN335" s="301" t="s">
        <v>470</v>
      </c>
      <c r="DZO335" s="301" t="s">
        <v>470</v>
      </c>
      <c r="DZP335" s="301" t="s">
        <v>470</v>
      </c>
      <c r="DZQ335" s="301" t="s">
        <v>470</v>
      </c>
      <c r="DZR335" s="301" t="s">
        <v>470</v>
      </c>
      <c r="DZS335" s="301" t="s">
        <v>470</v>
      </c>
      <c r="DZT335" s="301" t="s">
        <v>470</v>
      </c>
      <c r="DZU335" s="301" t="s">
        <v>470</v>
      </c>
      <c r="DZV335" s="301" t="s">
        <v>470</v>
      </c>
      <c r="DZW335" s="301" t="s">
        <v>470</v>
      </c>
      <c r="DZX335" s="301" t="s">
        <v>470</v>
      </c>
      <c r="DZY335" s="301" t="s">
        <v>470</v>
      </c>
      <c r="DZZ335" s="301" t="s">
        <v>470</v>
      </c>
      <c r="EAA335" s="301" t="s">
        <v>470</v>
      </c>
      <c r="EAB335" s="301" t="s">
        <v>470</v>
      </c>
      <c r="EAC335" s="301" t="s">
        <v>470</v>
      </c>
      <c r="EAD335" s="301" t="s">
        <v>470</v>
      </c>
      <c r="EAE335" s="301" t="s">
        <v>470</v>
      </c>
      <c r="EAF335" s="301" t="s">
        <v>470</v>
      </c>
      <c r="EAG335" s="301" t="s">
        <v>470</v>
      </c>
      <c r="EAH335" s="301" t="s">
        <v>470</v>
      </c>
      <c r="EAI335" s="301" t="s">
        <v>470</v>
      </c>
      <c r="EAJ335" s="301" t="s">
        <v>470</v>
      </c>
      <c r="EAK335" s="301" t="s">
        <v>470</v>
      </c>
      <c r="EAL335" s="301" t="s">
        <v>470</v>
      </c>
      <c r="EAM335" s="301" t="s">
        <v>470</v>
      </c>
      <c r="EAN335" s="301" t="s">
        <v>470</v>
      </c>
      <c r="EAO335" s="301" t="s">
        <v>470</v>
      </c>
      <c r="EAP335" s="301" t="s">
        <v>470</v>
      </c>
      <c r="EAQ335" s="301" t="s">
        <v>470</v>
      </c>
      <c r="EAR335" s="301" t="s">
        <v>470</v>
      </c>
      <c r="EAS335" s="301" t="s">
        <v>470</v>
      </c>
      <c r="EAT335" s="301" t="s">
        <v>470</v>
      </c>
      <c r="EAU335" s="301" t="s">
        <v>470</v>
      </c>
      <c r="EAV335" s="301" t="s">
        <v>470</v>
      </c>
      <c r="EAW335" s="301" t="s">
        <v>470</v>
      </c>
      <c r="EAX335" s="301" t="s">
        <v>470</v>
      </c>
      <c r="EAY335" s="301" t="s">
        <v>470</v>
      </c>
      <c r="EAZ335" s="301" t="s">
        <v>470</v>
      </c>
      <c r="EBA335" s="301" t="s">
        <v>470</v>
      </c>
      <c r="EBB335" s="301" t="s">
        <v>470</v>
      </c>
      <c r="EBC335" s="301" t="s">
        <v>470</v>
      </c>
      <c r="EBD335" s="301" t="s">
        <v>470</v>
      </c>
      <c r="EBE335" s="301" t="s">
        <v>470</v>
      </c>
      <c r="EBF335" s="301" t="s">
        <v>470</v>
      </c>
      <c r="EBG335" s="301" t="s">
        <v>470</v>
      </c>
      <c r="EBH335" s="301" t="s">
        <v>470</v>
      </c>
      <c r="EBI335" s="301" t="s">
        <v>470</v>
      </c>
      <c r="EBJ335" s="301" t="s">
        <v>470</v>
      </c>
      <c r="EBK335" s="301" t="s">
        <v>470</v>
      </c>
      <c r="EBL335" s="301" t="s">
        <v>470</v>
      </c>
      <c r="EBM335" s="301" t="s">
        <v>470</v>
      </c>
      <c r="EBN335" s="301" t="s">
        <v>470</v>
      </c>
      <c r="EBO335" s="301" t="s">
        <v>470</v>
      </c>
      <c r="EBP335" s="301" t="s">
        <v>470</v>
      </c>
      <c r="EBQ335" s="301" t="s">
        <v>470</v>
      </c>
      <c r="EBR335" s="301" t="s">
        <v>470</v>
      </c>
      <c r="EBS335" s="301" t="s">
        <v>470</v>
      </c>
      <c r="EBT335" s="301" t="s">
        <v>470</v>
      </c>
      <c r="EBU335" s="301" t="s">
        <v>470</v>
      </c>
      <c r="EBV335" s="301" t="s">
        <v>470</v>
      </c>
      <c r="EBW335" s="301" t="s">
        <v>470</v>
      </c>
      <c r="EBX335" s="301" t="s">
        <v>470</v>
      </c>
      <c r="EBY335" s="301" t="s">
        <v>470</v>
      </c>
      <c r="EBZ335" s="301" t="s">
        <v>470</v>
      </c>
      <c r="ECA335" s="301" t="s">
        <v>470</v>
      </c>
      <c r="ECB335" s="301" t="s">
        <v>470</v>
      </c>
      <c r="ECC335" s="301" t="s">
        <v>470</v>
      </c>
      <c r="ECD335" s="301" t="s">
        <v>470</v>
      </c>
      <c r="ECE335" s="301" t="s">
        <v>470</v>
      </c>
      <c r="ECF335" s="301" t="s">
        <v>470</v>
      </c>
      <c r="ECG335" s="301" t="s">
        <v>470</v>
      </c>
      <c r="ECH335" s="301" t="s">
        <v>470</v>
      </c>
      <c r="ECI335" s="301" t="s">
        <v>470</v>
      </c>
      <c r="ECJ335" s="301" t="s">
        <v>470</v>
      </c>
      <c r="ECK335" s="301" t="s">
        <v>470</v>
      </c>
      <c r="ECL335" s="301" t="s">
        <v>470</v>
      </c>
      <c r="ECM335" s="301" t="s">
        <v>470</v>
      </c>
      <c r="ECN335" s="301" t="s">
        <v>470</v>
      </c>
      <c r="ECO335" s="301" t="s">
        <v>470</v>
      </c>
      <c r="ECP335" s="301" t="s">
        <v>470</v>
      </c>
      <c r="ECQ335" s="301" t="s">
        <v>470</v>
      </c>
      <c r="ECR335" s="301" t="s">
        <v>470</v>
      </c>
      <c r="ECS335" s="301" t="s">
        <v>470</v>
      </c>
      <c r="ECT335" s="301" t="s">
        <v>470</v>
      </c>
      <c r="ECU335" s="301" t="s">
        <v>470</v>
      </c>
      <c r="ECV335" s="301" t="s">
        <v>470</v>
      </c>
      <c r="ECW335" s="301" t="s">
        <v>470</v>
      </c>
      <c r="ECX335" s="301" t="s">
        <v>470</v>
      </c>
      <c r="ECY335" s="301" t="s">
        <v>470</v>
      </c>
      <c r="ECZ335" s="301" t="s">
        <v>470</v>
      </c>
      <c r="EDA335" s="301" t="s">
        <v>470</v>
      </c>
      <c r="EDB335" s="301" t="s">
        <v>470</v>
      </c>
      <c r="EDC335" s="301" t="s">
        <v>470</v>
      </c>
      <c r="EDD335" s="301" t="s">
        <v>470</v>
      </c>
      <c r="EDE335" s="301" t="s">
        <v>470</v>
      </c>
      <c r="EDF335" s="301" t="s">
        <v>470</v>
      </c>
      <c r="EDG335" s="301" t="s">
        <v>470</v>
      </c>
      <c r="EDH335" s="301" t="s">
        <v>470</v>
      </c>
      <c r="EDI335" s="301" t="s">
        <v>470</v>
      </c>
      <c r="EDJ335" s="301" t="s">
        <v>470</v>
      </c>
      <c r="EDK335" s="301" t="s">
        <v>470</v>
      </c>
      <c r="EDL335" s="301" t="s">
        <v>470</v>
      </c>
      <c r="EDM335" s="301" t="s">
        <v>470</v>
      </c>
      <c r="EDN335" s="301" t="s">
        <v>470</v>
      </c>
      <c r="EDO335" s="301" t="s">
        <v>470</v>
      </c>
      <c r="EDP335" s="301" t="s">
        <v>470</v>
      </c>
      <c r="EDQ335" s="301" t="s">
        <v>470</v>
      </c>
      <c r="EDR335" s="301" t="s">
        <v>470</v>
      </c>
      <c r="EDS335" s="301" t="s">
        <v>470</v>
      </c>
      <c r="EDT335" s="301" t="s">
        <v>470</v>
      </c>
      <c r="EDU335" s="301" t="s">
        <v>470</v>
      </c>
      <c r="EDV335" s="301" t="s">
        <v>470</v>
      </c>
      <c r="EDW335" s="301" t="s">
        <v>470</v>
      </c>
      <c r="EDX335" s="301" t="s">
        <v>470</v>
      </c>
      <c r="EDY335" s="301" t="s">
        <v>470</v>
      </c>
      <c r="EDZ335" s="301" t="s">
        <v>470</v>
      </c>
      <c r="EEA335" s="301" t="s">
        <v>470</v>
      </c>
      <c r="EEB335" s="301" t="s">
        <v>470</v>
      </c>
      <c r="EEC335" s="301" t="s">
        <v>470</v>
      </c>
      <c r="EED335" s="301" t="s">
        <v>470</v>
      </c>
      <c r="EEE335" s="301" t="s">
        <v>470</v>
      </c>
      <c r="EEF335" s="301" t="s">
        <v>470</v>
      </c>
      <c r="EEG335" s="301" t="s">
        <v>470</v>
      </c>
      <c r="EEH335" s="301" t="s">
        <v>470</v>
      </c>
      <c r="EEI335" s="301" t="s">
        <v>470</v>
      </c>
      <c r="EEJ335" s="301" t="s">
        <v>470</v>
      </c>
      <c r="EEK335" s="301" t="s">
        <v>470</v>
      </c>
      <c r="EEL335" s="301" t="s">
        <v>470</v>
      </c>
      <c r="EEM335" s="301" t="s">
        <v>470</v>
      </c>
      <c r="EEN335" s="301" t="s">
        <v>470</v>
      </c>
      <c r="EEO335" s="301" t="s">
        <v>470</v>
      </c>
      <c r="EEP335" s="301" t="s">
        <v>470</v>
      </c>
      <c r="EEQ335" s="301" t="s">
        <v>470</v>
      </c>
      <c r="EER335" s="301" t="s">
        <v>470</v>
      </c>
      <c r="EES335" s="301" t="s">
        <v>470</v>
      </c>
      <c r="EET335" s="301" t="s">
        <v>470</v>
      </c>
      <c r="EEU335" s="301" t="s">
        <v>470</v>
      </c>
      <c r="EEV335" s="301" t="s">
        <v>470</v>
      </c>
      <c r="EEW335" s="301" t="s">
        <v>470</v>
      </c>
      <c r="EEX335" s="301" t="s">
        <v>470</v>
      </c>
      <c r="EEY335" s="301" t="s">
        <v>470</v>
      </c>
      <c r="EEZ335" s="301" t="s">
        <v>470</v>
      </c>
      <c r="EFA335" s="301" t="s">
        <v>470</v>
      </c>
      <c r="EFB335" s="301" t="s">
        <v>470</v>
      </c>
      <c r="EFC335" s="301" t="s">
        <v>470</v>
      </c>
      <c r="EFD335" s="301" t="s">
        <v>470</v>
      </c>
      <c r="EFE335" s="301" t="s">
        <v>470</v>
      </c>
      <c r="EFF335" s="301" t="s">
        <v>470</v>
      </c>
      <c r="EFG335" s="301" t="s">
        <v>470</v>
      </c>
      <c r="EFH335" s="301" t="s">
        <v>470</v>
      </c>
      <c r="EFI335" s="301" t="s">
        <v>470</v>
      </c>
      <c r="EFJ335" s="301" t="s">
        <v>470</v>
      </c>
      <c r="EFK335" s="301" t="s">
        <v>470</v>
      </c>
      <c r="EFL335" s="301" t="s">
        <v>470</v>
      </c>
      <c r="EFM335" s="301" t="s">
        <v>470</v>
      </c>
      <c r="EFN335" s="301" t="s">
        <v>470</v>
      </c>
      <c r="EFO335" s="301" t="s">
        <v>470</v>
      </c>
      <c r="EFP335" s="301" t="s">
        <v>470</v>
      </c>
      <c r="EFQ335" s="301" t="s">
        <v>470</v>
      </c>
      <c r="EFR335" s="301" t="s">
        <v>470</v>
      </c>
      <c r="EFS335" s="301" t="s">
        <v>470</v>
      </c>
      <c r="EFT335" s="301" t="s">
        <v>470</v>
      </c>
      <c r="EFU335" s="301" t="s">
        <v>470</v>
      </c>
      <c r="EFV335" s="301" t="s">
        <v>470</v>
      </c>
      <c r="EFW335" s="301" t="s">
        <v>470</v>
      </c>
      <c r="EFX335" s="301" t="s">
        <v>470</v>
      </c>
      <c r="EFY335" s="301" t="s">
        <v>470</v>
      </c>
      <c r="EFZ335" s="301" t="s">
        <v>470</v>
      </c>
      <c r="EGA335" s="301" t="s">
        <v>470</v>
      </c>
      <c r="EGB335" s="301" t="s">
        <v>470</v>
      </c>
      <c r="EGC335" s="301" t="s">
        <v>470</v>
      </c>
      <c r="EGD335" s="301" t="s">
        <v>470</v>
      </c>
      <c r="EGE335" s="301" t="s">
        <v>470</v>
      </c>
      <c r="EGF335" s="301" t="s">
        <v>470</v>
      </c>
      <c r="EGG335" s="301" t="s">
        <v>470</v>
      </c>
      <c r="EGH335" s="301" t="s">
        <v>470</v>
      </c>
      <c r="EGI335" s="301" t="s">
        <v>470</v>
      </c>
      <c r="EGJ335" s="301" t="s">
        <v>470</v>
      </c>
      <c r="EGK335" s="301" t="s">
        <v>470</v>
      </c>
      <c r="EGL335" s="301" t="s">
        <v>470</v>
      </c>
      <c r="EGM335" s="301" t="s">
        <v>470</v>
      </c>
      <c r="EGN335" s="301" t="s">
        <v>470</v>
      </c>
      <c r="EGO335" s="301" t="s">
        <v>470</v>
      </c>
      <c r="EGP335" s="301" t="s">
        <v>470</v>
      </c>
      <c r="EGQ335" s="301" t="s">
        <v>470</v>
      </c>
      <c r="EGR335" s="301" t="s">
        <v>470</v>
      </c>
      <c r="EGS335" s="301" t="s">
        <v>470</v>
      </c>
      <c r="EGT335" s="301" t="s">
        <v>470</v>
      </c>
      <c r="EGU335" s="301" t="s">
        <v>470</v>
      </c>
      <c r="EGV335" s="301" t="s">
        <v>470</v>
      </c>
      <c r="EGW335" s="301" t="s">
        <v>470</v>
      </c>
      <c r="EGX335" s="301" t="s">
        <v>470</v>
      </c>
      <c r="EGY335" s="301" t="s">
        <v>470</v>
      </c>
      <c r="EGZ335" s="301" t="s">
        <v>470</v>
      </c>
      <c r="EHA335" s="301" t="s">
        <v>470</v>
      </c>
      <c r="EHB335" s="301" t="s">
        <v>470</v>
      </c>
      <c r="EHC335" s="301" t="s">
        <v>470</v>
      </c>
      <c r="EHD335" s="301" t="s">
        <v>470</v>
      </c>
      <c r="EHE335" s="301" t="s">
        <v>470</v>
      </c>
      <c r="EHF335" s="301" t="s">
        <v>470</v>
      </c>
      <c r="EHG335" s="301" t="s">
        <v>470</v>
      </c>
      <c r="EHH335" s="301" t="s">
        <v>470</v>
      </c>
      <c r="EHI335" s="301" t="s">
        <v>470</v>
      </c>
      <c r="EHJ335" s="301" t="s">
        <v>470</v>
      </c>
      <c r="EHK335" s="301" t="s">
        <v>470</v>
      </c>
      <c r="EHL335" s="301" t="s">
        <v>470</v>
      </c>
      <c r="EHM335" s="301" t="s">
        <v>470</v>
      </c>
      <c r="EHN335" s="301" t="s">
        <v>470</v>
      </c>
      <c r="EHO335" s="301" t="s">
        <v>470</v>
      </c>
      <c r="EHP335" s="301" t="s">
        <v>470</v>
      </c>
      <c r="EHQ335" s="301" t="s">
        <v>470</v>
      </c>
      <c r="EHR335" s="301" t="s">
        <v>470</v>
      </c>
      <c r="EHS335" s="301" t="s">
        <v>470</v>
      </c>
      <c r="EHT335" s="301" t="s">
        <v>470</v>
      </c>
      <c r="EHU335" s="301" t="s">
        <v>470</v>
      </c>
      <c r="EHV335" s="301" t="s">
        <v>470</v>
      </c>
      <c r="EHW335" s="301" t="s">
        <v>470</v>
      </c>
      <c r="EHX335" s="301" t="s">
        <v>470</v>
      </c>
      <c r="EHY335" s="301" t="s">
        <v>470</v>
      </c>
      <c r="EHZ335" s="301" t="s">
        <v>470</v>
      </c>
      <c r="EIA335" s="301" t="s">
        <v>470</v>
      </c>
      <c r="EIB335" s="301" t="s">
        <v>470</v>
      </c>
      <c r="EIC335" s="301" t="s">
        <v>470</v>
      </c>
      <c r="EID335" s="301" t="s">
        <v>470</v>
      </c>
      <c r="EIE335" s="301" t="s">
        <v>470</v>
      </c>
      <c r="EIF335" s="301" t="s">
        <v>470</v>
      </c>
      <c r="EIG335" s="301" t="s">
        <v>470</v>
      </c>
      <c r="EIH335" s="301" t="s">
        <v>470</v>
      </c>
      <c r="EII335" s="301" t="s">
        <v>470</v>
      </c>
      <c r="EIJ335" s="301" t="s">
        <v>470</v>
      </c>
      <c r="EIK335" s="301" t="s">
        <v>470</v>
      </c>
      <c r="EIL335" s="301" t="s">
        <v>470</v>
      </c>
      <c r="EIM335" s="301" t="s">
        <v>470</v>
      </c>
      <c r="EIN335" s="301" t="s">
        <v>470</v>
      </c>
      <c r="EIO335" s="301" t="s">
        <v>470</v>
      </c>
      <c r="EIP335" s="301" t="s">
        <v>470</v>
      </c>
      <c r="EIQ335" s="301" t="s">
        <v>470</v>
      </c>
      <c r="EIR335" s="301" t="s">
        <v>470</v>
      </c>
      <c r="EIS335" s="301" t="s">
        <v>470</v>
      </c>
      <c r="EIT335" s="301" t="s">
        <v>470</v>
      </c>
      <c r="EIU335" s="301" t="s">
        <v>470</v>
      </c>
      <c r="EIV335" s="301" t="s">
        <v>470</v>
      </c>
      <c r="EIW335" s="301" t="s">
        <v>470</v>
      </c>
      <c r="EIX335" s="301" t="s">
        <v>470</v>
      </c>
      <c r="EIY335" s="301" t="s">
        <v>470</v>
      </c>
      <c r="EIZ335" s="301" t="s">
        <v>470</v>
      </c>
      <c r="EJA335" s="301" t="s">
        <v>470</v>
      </c>
      <c r="EJB335" s="301" t="s">
        <v>470</v>
      </c>
      <c r="EJC335" s="301" t="s">
        <v>470</v>
      </c>
      <c r="EJD335" s="301" t="s">
        <v>470</v>
      </c>
      <c r="EJE335" s="301" t="s">
        <v>470</v>
      </c>
      <c r="EJF335" s="301" t="s">
        <v>470</v>
      </c>
      <c r="EJG335" s="301" t="s">
        <v>470</v>
      </c>
      <c r="EJH335" s="301" t="s">
        <v>470</v>
      </c>
      <c r="EJI335" s="301" t="s">
        <v>470</v>
      </c>
      <c r="EJJ335" s="301" t="s">
        <v>470</v>
      </c>
      <c r="EJK335" s="301" t="s">
        <v>470</v>
      </c>
      <c r="EJL335" s="301" t="s">
        <v>470</v>
      </c>
      <c r="EJM335" s="301" t="s">
        <v>470</v>
      </c>
      <c r="EJN335" s="301" t="s">
        <v>470</v>
      </c>
      <c r="EJO335" s="301" t="s">
        <v>470</v>
      </c>
      <c r="EJP335" s="301" t="s">
        <v>470</v>
      </c>
      <c r="EJQ335" s="301" t="s">
        <v>470</v>
      </c>
      <c r="EJR335" s="301" t="s">
        <v>470</v>
      </c>
      <c r="EJS335" s="301" t="s">
        <v>470</v>
      </c>
      <c r="EJT335" s="301" t="s">
        <v>470</v>
      </c>
      <c r="EJU335" s="301" t="s">
        <v>470</v>
      </c>
      <c r="EJV335" s="301" t="s">
        <v>470</v>
      </c>
      <c r="EJW335" s="301" t="s">
        <v>470</v>
      </c>
      <c r="EJX335" s="301" t="s">
        <v>470</v>
      </c>
      <c r="EJY335" s="301" t="s">
        <v>470</v>
      </c>
      <c r="EJZ335" s="301" t="s">
        <v>470</v>
      </c>
      <c r="EKA335" s="301" t="s">
        <v>470</v>
      </c>
      <c r="EKB335" s="301" t="s">
        <v>470</v>
      </c>
      <c r="EKC335" s="301" t="s">
        <v>470</v>
      </c>
      <c r="EKD335" s="301" t="s">
        <v>470</v>
      </c>
      <c r="EKE335" s="301" t="s">
        <v>470</v>
      </c>
      <c r="EKF335" s="301" t="s">
        <v>470</v>
      </c>
      <c r="EKG335" s="301" t="s">
        <v>470</v>
      </c>
      <c r="EKH335" s="301" t="s">
        <v>470</v>
      </c>
      <c r="EKI335" s="301" t="s">
        <v>470</v>
      </c>
      <c r="EKJ335" s="301" t="s">
        <v>470</v>
      </c>
      <c r="EKK335" s="301" t="s">
        <v>470</v>
      </c>
      <c r="EKL335" s="301" t="s">
        <v>470</v>
      </c>
      <c r="EKM335" s="301" t="s">
        <v>470</v>
      </c>
      <c r="EKN335" s="301" t="s">
        <v>470</v>
      </c>
      <c r="EKO335" s="301" t="s">
        <v>470</v>
      </c>
      <c r="EKP335" s="301" t="s">
        <v>470</v>
      </c>
      <c r="EKQ335" s="301" t="s">
        <v>470</v>
      </c>
      <c r="EKR335" s="301" t="s">
        <v>470</v>
      </c>
      <c r="EKS335" s="301" t="s">
        <v>470</v>
      </c>
      <c r="EKT335" s="301" t="s">
        <v>470</v>
      </c>
      <c r="EKU335" s="301" t="s">
        <v>470</v>
      </c>
      <c r="EKV335" s="301" t="s">
        <v>470</v>
      </c>
      <c r="EKW335" s="301" t="s">
        <v>470</v>
      </c>
      <c r="EKX335" s="301" t="s">
        <v>470</v>
      </c>
      <c r="EKY335" s="301" t="s">
        <v>470</v>
      </c>
      <c r="EKZ335" s="301" t="s">
        <v>470</v>
      </c>
      <c r="ELA335" s="301" t="s">
        <v>470</v>
      </c>
      <c r="ELB335" s="301" t="s">
        <v>470</v>
      </c>
      <c r="ELC335" s="301" t="s">
        <v>470</v>
      </c>
      <c r="ELD335" s="301" t="s">
        <v>470</v>
      </c>
      <c r="ELE335" s="301" t="s">
        <v>470</v>
      </c>
      <c r="ELF335" s="301" t="s">
        <v>470</v>
      </c>
      <c r="ELG335" s="301" t="s">
        <v>470</v>
      </c>
      <c r="ELH335" s="301" t="s">
        <v>470</v>
      </c>
      <c r="ELI335" s="301" t="s">
        <v>470</v>
      </c>
      <c r="ELJ335" s="301" t="s">
        <v>470</v>
      </c>
      <c r="ELK335" s="301" t="s">
        <v>470</v>
      </c>
      <c r="ELL335" s="301" t="s">
        <v>470</v>
      </c>
      <c r="ELM335" s="301" t="s">
        <v>470</v>
      </c>
      <c r="ELN335" s="301" t="s">
        <v>470</v>
      </c>
      <c r="ELO335" s="301" t="s">
        <v>470</v>
      </c>
      <c r="ELP335" s="301" t="s">
        <v>470</v>
      </c>
      <c r="ELQ335" s="301" t="s">
        <v>470</v>
      </c>
      <c r="ELR335" s="301" t="s">
        <v>470</v>
      </c>
      <c r="ELS335" s="301" t="s">
        <v>470</v>
      </c>
      <c r="ELT335" s="301" t="s">
        <v>470</v>
      </c>
      <c r="ELU335" s="301" t="s">
        <v>470</v>
      </c>
      <c r="ELV335" s="301" t="s">
        <v>470</v>
      </c>
      <c r="ELW335" s="301" t="s">
        <v>470</v>
      </c>
      <c r="ELX335" s="301" t="s">
        <v>470</v>
      </c>
      <c r="ELY335" s="301" t="s">
        <v>470</v>
      </c>
      <c r="ELZ335" s="301" t="s">
        <v>470</v>
      </c>
      <c r="EMA335" s="301" t="s">
        <v>470</v>
      </c>
      <c r="EMB335" s="301" t="s">
        <v>470</v>
      </c>
      <c r="EMC335" s="301" t="s">
        <v>470</v>
      </c>
      <c r="EMD335" s="301" t="s">
        <v>470</v>
      </c>
      <c r="EME335" s="301" t="s">
        <v>470</v>
      </c>
      <c r="EMF335" s="301" t="s">
        <v>470</v>
      </c>
      <c r="EMG335" s="301" t="s">
        <v>470</v>
      </c>
      <c r="EMH335" s="301" t="s">
        <v>470</v>
      </c>
      <c r="EMI335" s="301" t="s">
        <v>470</v>
      </c>
      <c r="EMJ335" s="301" t="s">
        <v>470</v>
      </c>
      <c r="EMK335" s="301" t="s">
        <v>470</v>
      </c>
      <c r="EML335" s="301" t="s">
        <v>470</v>
      </c>
      <c r="EMM335" s="301" t="s">
        <v>470</v>
      </c>
      <c r="EMN335" s="301" t="s">
        <v>470</v>
      </c>
      <c r="EMO335" s="301" t="s">
        <v>470</v>
      </c>
      <c r="EMP335" s="301" t="s">
        <v>470</v>
      </c>
      <c r="EMQ335" s="301" t="s">
        <v>470</v>
      </c>
      <c r="EMR335" s="301" t="s">
        <v>470</v>
      </c>
      <c r="EMS335" s="301" t="s">
        <v>470</v>
      </c>
      <c r="EMT335" s="301" t="s">
        <v>470</v>
      </c>
      <c r="EMU335" s="301" t="s">
        <v>470</v>
      </c>
      <c r="EMV335" s="301" t="s">
        <v>470</v>
      </c>
      <c r="EMW335" s="301" t="s">
        <v>470</v>
      </c>
      <c r="EMX335" s="301" t="s">
        <v>470</v>
      </c>
      <c r="EMY335" s="301" t="s">
        <v>470</v>
      </c>
      <c r="EMZ335" s="301" t="s">
        <v>470</v>
      </c>
      <c r="ENA335" s="301" t="s">
        <v>470</v>
      </c>
      <c r="ENB335" s="301" t="s">
        <v>470</v>
      </c>
      <c r="ENC335" s="301" t="s">
        <v>470</v>
      </c>
      <c r="END335" s="301" t="s">
        <v>470</v>
      </c>
      <c r="ENE335" s="301" t="s">
        <v>470</v>
      </c>
      <c r="ENF335" s="301" t="s">
        <v>470</v>
      </c>
      <c r="ENG335" s="301" t="s">
        <v>470</v>
      </c>
      <c r="ENH335" s="301" t="s">
        <v>470</v>
      </c>
      <c r="ENI335" s="301" t="s">
        <v>470</v>
      </c>
      <c r="ENJ335" s="301" t="s">
        <v>470</v>
      </c>
      <c r="ENK335" s="301" t="s">
        <v>470</v>
      </c>
      <c r="ENL335" s="301" t="s">
        <v>470</v>
      </c>
      <c r="ENM335" s="301" t="s">
        <v>470</v>
      </c>
      <c r="ENN335" s="301" t="s">
        <v>470</v>
      </c>
      <c r="ENO335" s="301" t="s">
        <v>470</v>
      </c>
      <c r="ENP335" s="301" t="s">
        <v>470</v>
      </c>
      <c r="ENQ335" s="301" t="s">
        <v>470</v>
      </c>
      <c r="ENR335" s="301" t="s">
        <v>470</v>
      </c>
      <c r="ENS335" s="301" t="s">
        <v>470</v>
      </c>
      <c r="ENT335" s="301" t="s">
        <v>470</v>
      </c>
      <c r="ENU335" s="301" t="s">
        <v>470</v>
      </c>
      <c r="ENV335" s="301" t="s">
        <v>470</v>
      </c>
      <c r="ENW335" s="301" t="s">
        <v>470</v>
      </c>
      <c r="ENX335" s="301" t="s">
        <v>470</v>
      </c>
      <c r="ENY335" s="301" t="s">
        <v>470</v>
      </c>
      <c r="ENZ335" s="301" t="s">
        <v>470</v>
      </c>
      <c r="EOA335" s="301" t="s">
        <v>470</v>
      </c>
      <c r="EOB335" s="301" t="s">
        <v>470</v>
      </c>
      <c r="EOC335" s="301" t="s">
        <v>470</v>
      </c>
      <c r="EOD335" s="301" t="s">
        <v>470</v>
      </c>
      <c r="EOE335" s="301" t="s">
        <v>470</v>
      </c>
      <c r="EOF335" s="301" t="s">
        <v>470</v>
      </c>
      <c r="EOG335" s="301" t="s">
        <v>470</v>
      </c>
      <c r="EOH335" s="301" t="s">
        <v>470</v>
      </c>
      <c r="EOI335" s="301" t="s">
        <v>470</v>
      </c>
      <c r="EOJ335" s="301" t="s">
        <v>470</v>
      </c>
      <c r="EOK335" s="301" t="s">
        <v>470</v>
      </c>
      <c r="EOL335" s="301" t="s">
        <v>470</v>
      </c>
      <c r="EOM335" s="301" t="s">
        <v>470</v>
      </c>
      <c r="EON335" s="301" t="s">
        <v>470</v>
      </c>
      <c r="EOO335" s="301" t="s">
        <v>470</v>
      </c>
      <c r="EOP335" s="301" t="s">
        <v>470</v>
      </c>
      <c r="EOQ335" s="301" t="s">
        <v>470</v>
      </c>
      <c r="EOR335" s="301" t="s">
        <v>470</v>
      </c>
      <c r="EOS335" s="301" t="s">
        <v>470</v>
      </c>
      <c r="EOT335" s="301" t="s">
        <v>470</v>
      </c>
      <c r="EOU335" s="301" t="s">
        <v>470</v>
      </c>
      <c r="EOV335" s="301" t="s">
        <v>470</v>
      </c>
      <c r="EOW335" s="301" t="s">
        <v>470</v>
      </c>
      <c r="EOX335" s="301" t="s">
        <v>470</v>
      </c>
      <c r="EOY335" s="301" t="s">
        <v>470</v>
      </c>
      <c r="EOZ335" s="301" t="s">
        <v>470</v>
      </c>
      <c r="EPA335" s="301" t="s">
        <v>470</v>
      </c>
      <c r="EPB335" s="301" t="s">
        <v>470</v>
      </c>
      <c r="EPC335" s="301" t="s">
        <v>470</v>
      </c>
      <c r="EPD335" s="301" t="s">
        <v>470</v>
      </c>
      <c r="EPE335" s="301" t="s">
        <v>470</v>
      </c>
      <c r="EPF335" s="301" t="s">
        <v>470</v>
      </c>
      <c r="EPG335" s="301" t="s">
        <v>470</v>
      </c>
      <c r="EPH335" s="301" t="s">
        <v>470</v>
      </c>
      <c r="EPI335" s="301" t="s">
        <v>470</v>
      </c>
      <c r="EPJ335" s="301" t="s">
        <v>470</v>
      </c>
      <c r="EPK335" s="301" t="s">
        <v>470</v>
      </c>
      <c r="EPL335" s="301" t="s">
        <v>470</v>
      </c>
      <c r="EPM335" s="301" t="s">
        <v>470</v>
      </c>
      <c r="EPN335" s="301" t="s">
        <v>470</v>
      </c>
      <c r="EPO335" s="301" t="s">
        <v>470</v>
      </c>
      <c r="EPP335" s="301" t="s">
        <v>470</v>
      </c>
      <c r="EPQ335" s="301" t="s">
        <v>470</v>
      </c>
      <c r="EPR335" s="301" t="s">
        <v>470</v>
      </c>
      <c r="EPS335" s="301" t="s">
        <v>470</v>
      </c>
      <c r="EPT335" s="301" t="s">
        <v>470</v>
      </c>
      <c r="EPU335" s="301" t="s">
        <v>470</v>
      </c>
      <c r="EPV335" s="301" t="s">
        <v>470</v>
      </c>
      <c r="EPW335" s="301" t="s">
        <v>470</v>
      </c>
      <c r="EPX335" s="301" t="s">
        <v>470</v>
      </c>
      <c r="EPY335" s="301" t="s">
        <v>470</v>
      </c>
      <c r="EPZ335" s="301" t="s">
        <v>470</v>
      </c>
      <c r="EQA335" s="301" t="s">
        <v>470</v>
      </c>
      <c r="EQB335" s="301" t="s">
        <v>470</v>
      </c>
      <c r="EQC335" s="301" t="s">
        <v>470</v>
      </c>
      <c r="EQD335" s="301" t="s">
        <v>470</v>
      </c>
      <c r="EQE335" s="301" t="s">
        <v>470</v>
      </c>
      <c r="EQF335" s="301" t="s">
        <v>470</v>
      </c>
      <c r="EQG335" s="301" t="s">
        <v>470</v>
      </c>
      <c r="EQH335" s="301" t="s">
        <v>470</v>
      </c>
      <c r="EQI335" s="301" t="s">
        <v>470</v>
      </c>
      <c r="EQJ335" s="301" t="s">
        <v>470</v>
      </c>
      <c r="EQK335" s="301" t="s">
        <v>470</v>
      </c>
      <c r="EQL335" s="301" t="s">
        <v>470</v>
      </c>
      <c r="EQM335" s="301" t="s">
        <v>470</v>
      </c>
      <c r="EQN335" s="301" t="s">
        <v>470</v>
      </c>
      <c r="EQO335" s="301" t="s">
        <v>470</v>
      </c>
      <c r="EQP335" s="301" t="s">
        <v>470</v>
      </c>
      <c r="EQQ335" s="301" t="s">
        <v>470</v>
      </c>
      <c r="EQR335" s="301" t="s">
        <v>470</v>
      </c>
      <c r="EQS335" s="301" t="s">
        <v>470</v>
      </c>
      <c r="EQT335" s="301" t="s">
        <v>470</v>
      </c>
      <c r="EQU335" s="301" t="s">
        <v>470</v>
      </c>
      <c r="EQV335" s="301" t="s">
        <v>470</v>
      </c>
      <c r="EQW335" s="301" t="s">
        <v>470</v>
      </c>
      <c r="EQX335" s="301" t="s">
        <v>470</v>
      </c>
      <c r="EQY335" s="301" t="s">
        <v>470</v>
      </c>
      <c r="EQZ335" s="301" t="s">
        <v>470</v>
      </c>
      <c r="ERA335" s="301" t="s">
        <v>470</v>
      </c>
      <c r="ERB335" s="301" t="s">
        <v>470</v>
      </c>
      <c r="ERC335" s="301" t="s">
        <v>470</v>
      </c>
      <c r="ERD335" s="301" t="s">
        <v>470</v>
      </c>
      <c r="ERE335" s="301" t="s">
        <v>470</v>
      </c>
      <c r="ERF335" s="301" t="s">
        <v>470</v>
      </c>
      <c r="ERG335" s="301" t="s">
        <v>470</v>
      </c>
      <c r="ERH335" s="301" t="s">
        <v>470</v>
      </c>
      <c r="ERI335" s="301" t="s">
        <v>470</v>
      </c>
      <c r="ERJ335" s="301" t="s">
        <v>470</v>
      </c>
      <c r="ERK335" s="301" t="s">
        <v>470</v>
      </c>
      <c r="ERL335" s="301" t="s">
        <v>470</v>
      </c>
      <c r="ERM335" s="301" t="s">
        <v>470</v>
      </c>
      <c r="ERN335" s="301" t="s">
        <v>470</v>
      </c>
      <c r="ERO335" s="301" t="s">
        <v>470</v>
      </c>
      <c r="ERP335" s="301" t="s">
        <v>470</v>
      </c>
      <c r="ERQ335" s="301" t="s">
        <v>470</v>
      </c>
      <c r="ERR335" s="301" t="s">
        <v>470</v>
      </c>
      <c r="ERS335" s="301" t="s">
        <v>470</v>
      </c>
      <c r="ERT335" s="301" t="s">
        <v>470</v>
      </c>
      <c r="ERU335" s="301" t="s">
        <v>470</v>
      </c>
      <c r="ERV335" s="301" t="s">
        <v>470</v>
      </c>
      <c r="ERW335" s="301" t="s">
        <v>470</v>
      </c>
      <c r="ERX335" s="301" t="s">
        <v>470</v>
      </c>
      <c r="ERY335" s="301" t="s">
        <v>470</v>
      </c>
      <c r="ERZ335" s="301" t="s">
        <v>470</v>
      </c>
      <c r="ESA335" s="301" t="s">
        <v>470</v>
      </c>
      <c r="ESB335" s="301" t="s">
        <v>470</v>
      </c>
      <c r="ESC335" s="301" t="s">
        <v>470</v>
      </c>
      <c r="ESD335" s="301" t="s">
        <v>470</v>
      </c>
      <c r="ESE335" s="301" t="s">
        <v>470</v>
      </c>
      <c r="ESF335" s="301" t="s">
        <v>470</v>
      </c>
      <c r="ESG335" s="301" t="s">
        <v>470</v>
      </c>
      <c r="ESH335" s="301" t="s">
        <v>470</v>
      </c>
      <c r="ESI335" s="301" t="s">
        <v>470</v>
      </c>
      <c r="ESJ335" s="301" t="s">
        <v>470</v>
      </c>
      <c r="ESK335" s="301" t="s">
        <v>470</v>
      </c>
      <c r="ESL335" s="301" t="s">
        <v>470</v>
      </c>
      <c r="ESM335" s="301" t="s">
        <v>470</v>
      </c>
      <c r="ESN335" s="301" t="s">
        <v>470</v>
      </c>
      <c r="ESO335" s="301" t="s">
        <v>470</v>
      </c>
      <c r="ESP335" s="301" t="s">
        <v>470</v>
      </c>
      <c r="ESQ335" s="301" t="s">
        <v>470</v>
      </c>
      <c r="ESR335" s="301" t="s">
        <v>470</v>
      </c>
      <c r="ESS335" s="301" t="s">
        <v>470</v>
      </c>
      <c r="EST335" s="301" t="s">
        <v>470</v>
      </c>
      <c r="ESU335" s="301" t="s">
        <v>470</v>
      </c>
      <c r="ESV335" s="301" t="s">
        <v>470</v>
      </c>
      <c r="ESW335" s="301" t="s">
        <v>470</v>
      </c>
      <c r="ESX335" s="301" t="s">
        <v>470</v>
      </c>
      <c r="ESY335" s="301" t="s">
        <v>470</v>
      </c>
      <c r="ESZ335" s="301" t="s">
        <v>470</v>
      </c>
      <c r="ETA335" s="301" t="s">
        <v>470</v>
      </c>
      <c r="ETB335" s="301" t="s">
        <v>470</v>
      </c>
      <c r="ETC335" s="301" t="s">
        <v>470</v>
      </c>
      <c r="ETD335" s="301" t="s">
        <v>470</v>
      </c>
      <c r="ETE335" s="301" t="s">
        <v>470</v>
      </c>
      <c r="ETF335" s="301" t="s">
        <v>470</v>
      </c>
      <c r="ETG335" s="301" t="s">
        <v>470</v>
      </c>
      <c r="ETH335" s="301" t="s">
        <v>470</v>
      </c>
      <c r="ETI335" s="301" t="s">
        <v>470</v>
      </c>
      <c r="ETJ335" s="301" t="s">
        <v>470</v>
      </c>
      <c r="ETK335" s="301" t="s">
        <v>470</v>
      </c>
      <c r="ETL335" s="301" t="s">
        <v>470</v>
      </c>
      <c r="ETM335" s="301" t="s">
        <v>470</v>
      </c>
      <c r="ETN335" s="301" t="s">
        <v>470</v>
      </c>
      <c r="ETO335" s="301" t="s">
        <v>470</v>
      </c>
      <c r="ETP335" s="301" t="s">
        <v>470</v>
      </c>
      <c r="ETQ335" s="301" t="s">
        <v>470</v>
      </c>
      <c r="ETR335" s="301" t="s">
        <v>470</v>
      </c>
      <c r="ETS335" s="301" t="s">
        <v>470</v>
      </c>
      <c r="ETT335" s="301" t="s">
        <v>470</v>
      </c>
      <c r="ETU335" s="301" t="s">
        <v>470</v>
      </c>
      <c r="ETV335" s="301" t="s">
        <v>470</v>
      </c>
      <c r="ETW335" s="301" t="s">
        <v>470</v>
      </c>
      <c r="ETX335" s="301" t="s">
        <v>470</v>
      </c>
      <c r="ETY335" s="301" t="s">
        <v>470</v>
      </c>
      <c r="ETZ335" s="301" t="s">
        <v>470</v>
      </c>
      <c r="EUA335" s="301" t="s">
        <v>470</v>
      </c>
      <c r="EUB335" s="301" t="s">
        <v>470</v>
      </c>
      <c r="EUC335" s="301" t="s">
        <v>470</v>
      </c>
      <c r="EUD335" s="301" t="s">
        <v>470</v>
      </c>
      <c r="EUE335" s="301" t="s">
        <v>470</v>
      </c>
      <c r="EUF335" s="301" t="s">
        <v>470</v>
      </c>
      <c r="EUG335" s="301" t="s">
        <v>470</v>
      </c>
      <c r="EUH335" s="301" t="s">
        <v>470</v>
      </c>
      <c r="EUI335" s="301" t="s">
        <v>470</v>
      </c>
      <c r="EUJ335" s="301" t="s">
        <v>470</v>
      </c>
      <c r="EUK335" s="301" t="s">
        <v>470</v>
      </c>
      <c r="EUL335" s="301" t="s">
        <v>470</v>
      </c>
      <c r="EUM335" s="301" t="s">
        <v>470</v>
      </c>
      <c r="EUN335" s="301" t="s">
        <v>470</v>
      </c>
      <c r="EUO335" s="301" t="s">
        <v>470</v>
      </c>
      <c r="EUP335" s="301" t="s">
        <v>470</v>
      </c>
      <c r="EUQ335" s="301" t="s">
        <v>470</v>
      </c>
      <c r="EUR335" s="301" t="s">
        <v>470</v>
      </c>
      <c r="EUS335" s="301" t="s">
        <v>470</v>
      </c>
      <c r="EUT335" s="301" t="s">
        <v>470</v>
      </c>
      <c r="EUU335" s="301" t="s">
        <v>470</v>
      </c>
      <c r="EUV335" s="301" t="s">
        <v>470</v>
      </c>
      <c r="EUW335" s="301" t="s">
        <v>470</v>
      </c>
      <c r="EUX335" s="301" t="s">
        <v>470</v>
      </c>
      <c r="EUY335" s="301" t="s">
        <v>470</v>
      </c>
      <c r="EUZ335" s="301" t="s">
        <v>470</v>
      </c>
      <c r="EVA335" s="301" t="s">
        <v>470</v>
      </c>
      <c r="EVB335" s="301" t="s">
        <v>470</v>
      </c>
      <c r="EVC335" s="301" t="s">
        <v>470</v>
      </c>
      <c r="EVD335" s="301" t="s">
        <v>470</v>
      </c>
      <c r="EVE335" s="301" t="s">
        <v>470</v>
      </c>
      <c r="EVF335" s="301" t="s">
        <v>470</v>
      </c>
      <c r="EVG335" s="301" t="s">
        <v>470</v>
      </c>
      <c r="EVH335" s="301" t="s">
        <v>470</v>
      </c>
      <c r="EVI335" s="301" t="s">
        <v>470</v>
      </c>
      <c r="EVJ335" s="301" t="s">
        <v>470</v>
      </c>
      <c r="EVK335" s="301" t="s">
        <v>470</v>
      </c>
      <c r="EVL335" s="301" t="s">
        <v>470</v>
      </c>
      <c r="EVM335" s="301" t="s">
        <v>470</v>
      </c>
      <c r="EVN335" s="301" t="s">
        <v>470</v>
      </c>
      <c r="EVO335" s="301" t="s">
        <v>470</v>
      </c>
      <c r="EVP335" s="301" t="s">
        <v>470</v>
      </c>
      <c r="EVQ335" s="301" t="s">
        <v>470</v>
      </c>
      <c r="EVR335" s="301" t="s">
        <v>470</v>
      </c>
      <c r="EVS335" s="301" t="s">
        <v>470</v>
      </c>
      <c r="EVT335" s="301" t="s">
        <v>470</v>
      </c>
      <c r="EVU335" s="301" t="s">
        <v>470</v>
      </c>
      <c r="EVV335" s="301" t="s">
        <v>470</v>
      </c>
      <c r="EVW335" s="301" t="s">
        <v>470</v>
      </c>
      <c r="EVX335" s="301" t="s">
        <v>470</v>
      </c>
      <c r="EVY335" s="301" t="s">
        <v>470</v>
      </c>
      <c r="EVZ335" s="301" t="s">
        <v>470</v>
      </c>
      <c r="EWA335" s="301" t="s">
        <v>470</v>
      </c>
      <c r="EWB335" s="301" t="s">
        <v>470</v>
      </c>
      <c r="EWC335" s="301" t="s">
        <v>470</v>
      </c>
      <c r="EWD335" s="301" t="s">
        <v>470</v>
      </c>
      <c r="EWE335" s="301" t="s">
        <v>470</v>
      </c>
      <c r="EWF335" s="301" t="s">
        <v>470</v>
      </c>
      <c r="EWG335" s="301" t="s">
        <v>470</v>
      </c>
      <c r="EWH335" s="301" t="s">
        <v>470</v>
      </c>
      <c r="EWI335" s="301" t="s">
        <v>470</v>
      </c>
      <c r="EWJ335" s="301" t="s">
        <v>470</v>
      </c>
      <c r="EWK335" s="301" t="s">
        <v>470</v>
      </c>
      <c r="EWL335" s="301" t="s">
        <v>470</v>
      </c>
      <c r="EWM335" s="301" t="s">
        <v>470</v>
      </c>
      <c r="EWN335" s="301" t="s">
        <v>470</v>
      </c>
      <c r="EWO335" s="301" t="s">
        <v>470</v>
      </c>
      <c r="EWP335" s="301" t="s">
        <v>470</v>
      </c>
      <c r="EWQ335" s="301" t="s">
        <v>470</v>
      </c>
      <c r="EWR335" s="301" t="s">
        <v>470</v>
      </c>
      <c r="EWS335" s="301" t="s">
        <v>470</v>
      </c>
      <c r="EWT335" s="301" t="s">
        <v>470</v>
      </c>
      <c r="EWU335" s="301" t="s">
        <v>470</v>
      </c>
      <c r="EWV335" s="301" t="s">
        <v>470</v>
      </c>
      <c r="EWW335" s="301" t="s">
        <v>470</v>
      </c>
      <c r="EWX335" s="301" t="s">
        <v>470</v>
      </c>
      <c r="EWY335" s="301" t="s">
        <v>470</v>
      </c>
      <c r="EWZ335" s="301" t="s">
        <v>470</v>
      </c>
      <c r="EXA335" s="301" t="s">
        <v>470</v>
      </c>
      <c r="EXB335" s="301" t="s">
        <v>470</v>
      </c>
      <c r="EXC335" s="301" t="s">
        <v>470</v>
      </c>
      <c r="EXD335" s="301" t="s">
        <v>470</v>
      </c>
      <c r="EXE335" s="301" t="s">
        <v>470</v>
      </c>
      <c r="EXF335" s="301" t="s">
        <v>470</v>
      </c>
      <c r="EXG335" s="301" t="s">
        <v>470</v>
      </c>
      <c r="EXH335" s="301" t="s">
        <v>470</v>
      </c>
      <c r="EXI335" s="301" t="s">
        <v>470</v>
      </c>
      <c r="EXJ335" s="301" t="s">
        <v>470</v>
      </c>
      <c r="EXK335" s="301" t="s">
        <v>470</v>
      </c>
      <c r="EXL335" s="301" t="s">
        <v>470</v>
      </c>
      <c r="EXM335" s="301" t="s">
        <v>470</v>
      </c>
      <c r="EXN335" s="301" t="s">
        <v>470</v>
      </c>
      <c r="EXO335" s="301" t="s">
        <v>470</v>
      </c>
      <c r="EXP335" s="301" t="s">
        <v>470</v>
      </c>
      <c r="EXQ335" s="301" t="s">
        <v>470</v>
      </c>
      <c r="EXR335" s="301" t="s">
        <v>470</v>
      </c>
      <c r="EXS335" s="301" t="s">
        <v>470</v>
      </c>
      <c r="EXT335" s="301" t="s">
        <v>470</v>
      </c>
      <c r="EXU335" s="301" t="s">
        <v>470</v>
      </c>
      <c r="EXV335" s="301" t="s">
        <v>470</v>
      </c>
      <c r="EXW335" s="301" t="s">
        <v>470</v>
      </c>
      <c r="EXX335" s="301" t="s">
        <v>470</v>
      </c>
      <c r="EXY335" s="301" t="s">
        <v>470</v>
      </c>
      <c r="EXZ335" s="301" t="s">
        <v>470</v>
      </c>
      <c r="EYA335" s="301" t="s">
        <v>470</v>
      </c>
      <c r="EYB335" s="301" t="s">
        <v>470</v>
      </c>
      <c r="EYC335" s="301" t="s">
        <v>470</v>
      </c>
      <c r="EYD335" s="301" t="s">
        <v>470</v>
      </c>
      <c r="EYE335" s="301" t="s">
        <v>470</v>
      </c>
      <c r="EYF335" s="301" t="s">
        <v>470</v>
      </c>
      <c r="EYG335" s="301" t="s">
        <v>470</v>
      </c>
      <c r="EYH335" s="301" t="s">
        <v>470</v>
      </c>
      <c r="EYI335" s="301" t="s">
        <v>470</v>
      </c>
      <c r="EYJ335" s="301" t="s">
        <v>470</v>
      </c>
      <c r="EYK335" s="301" t="s">
        <v>470</v>
      </c>
      <c r="EYL335" s="301" t="s">
        <v>470</v>
      </c>
      <c r="EYM335" s="301" t="s">
        <v>470</v>
      </c>
      <c r="EYN335" s="301" t="s">
        <v>470</v>
      </c>
      <c r="EYO335" s="301" t="s">
        <v>470</v>
      </c>
      <c r="EYP335" s="301" t="s">
        <v>470</v>
      </c>
      <c r="EYQ335" s="301" t="s">
        <v>470</v>
      </c>
      <c r="EYR335" s="301" t="s">
        <v>470</v>
      </c>
      <c r="EYS335" s="301" t="s">
        <v>470</v>
      </c>
      <c r="EYT335" s="301" t="s">
        <v>470</v>
      </c>
      <c r="EYU335" s="301" t="s">
        <v>470</v>
      </c>
      <c r="EYV335" s="301" t="s">
        <v>470</v>
      </c>
      <c r="EYW335" s="301" t="s">
        <v>470</v>
      </c>
      <c r="EYX335" s="301" t="s">
        <v>470</v>
      </c>
      <c r="EYY335" s="301" t="s">
        <v>470</v>
      </c>
      <c r="EYZ335" s="301" t="s">
        <v>470</v>
      </c>
      <c r="EZA335" s="301" t="s">
        <v>470</v>
      </c>
      <c r="EZB335" s="301" t="s">
        <v>470</v>
      </c>
      <c r="EZC335" s="301" t="s">
        <v>470</v>
      </c>
      <c r="EZD335" s="301" t="s">
        <v>470</v>
      </c>
      <c r="EZE335" s="301" t="s">
        <v>470</v>
      </c>
      <c r="EZF335" s="301" t="s">
        <v>470</v>
      </c>
      <c r="EZG335" s="301" t="s">
        <v>470</v>
      </c>
      <c r="EZH335" s="301" t="s">
        <v>470</v>
      </c>
      <c r="EZI335" s="301" t="s">
        <v>470</v>
      </c>
      <c r="EZJ335" s="301" t="s">
        <v>470</v>
      </c>
      <c r="EZK335" s="301" t="s">
        <v>470</v>
      </c>
      <c r="EZL335" s="301" t="s">
        <v>470</v>
      </c>
      <c r="EZM335" s="301" t="s">
        <v>470</v>
      </c>
      <c r="EZN335" s="301" t="s">
        <v>470</v>
      </c>
      <c r="EZO335" s="301" t="s">
        <v>470</v>
      </c>
      <c r="EZP335" s="301" t="s">
        <v>470</v>
      </c>
      <c r="EZQ335" s="301" t="s">
        <v>470</v>
      </c>
      <c r="EZR335" s="301" t="s">
        <v>470</v>
      </c>
      <c r="EZS335" s="301" t="s">
        <v>470</v>
      </c>
      <c r="EZT335" s="301" t="s">
        <v>470</v>
      </c>
      <c r="EZU335" s="301" t="s">
        <v>470</v>
      </c>
      <c r="EZV335" s="301" t="s">
        <v>470</v>
      </c>
      <c r="EZW335" s="301" t="s">
        <v>470</v>
      </c>
      <c r="EZX335" s="301" t="s">
        <v>470</v>
      </c>
      <c r="EZY335" s="301" t="s">
        <v>470</v>
      </c>
      <c r="EZZ335" s="301" t="s">
        <v>470</v>
      </c>
      <c r="FAA335" s="301" t="s">
        <v>470</v>
      </c>
      <c r="FAB335" s="301" t="s">
        <v>470</v>
      </c>
      <c r="FAC335" s="301" t="s">
        <v>470</v>
      </c>
      <c r="FAD335" s="301" t="s">
        <v>470</v>
      </c>
      <c r="FAE335" s="301" t="s">
        <v>470</v>
      </c>
      <c r="FAF335" s="301" t="s">
        <v>470</v>
      </c>
      <c r="FAG335" s="301" t="s">
        <v>470</v>
      </c>
      <c r="FAH335" s="301" t="s">
        <v>470</v>
      </c>
      <c r="FAI335" s="301" t="s">
        <v>470</v>
      </c>
      <c r="FAJ335" s="301" t="s">
        <v>470</v>
      </c>
      <c r="FAK335" s="301" t="s">
        <v>470</v>
      </c>
      <c r="FAL335" s="301" t="s">
        <v>470</v>
      </c>
      <c r="FAM335" s="301" t="s">
        <v>470</v>
      </c>
      <c r="FAN335" s="301" t="s">
        <v>470</v>
      </c>
      <c r="FAO335" s="301" t="s">
        <v>470</v>
      </c>
      <c r="FAP335" s="301" t="s">
        <v>470</v>
      </c>
      <c r="FAQ335" s="301" t="s">
        <v>470</v>
      </c>
      <c r="FAR335" s="301" t="s">
        <v>470</v>
      </c>
      <c r="FAS335" s="301" t="s">
        <v>470</v>
      </c>
      <c r="FAT335" s="301" t="s">
        <v>470</v>
      </c>
      <c r="FAU335" s="301" t="s">
        <v>470</v>
      </c>
      <c r="FAV335" s="301" t="s">
        <v>470</v>
      </c>
      <c r="FAW335" s="301" t="s">
        <v>470</v>
      </c>
      <c r="FAX335" s="301" t="s">
        <v>470</v>
      </c>
      <c r="FAY335" s="301" t="s">
        <v>470</v>
      </c>
      <c r="FAZ335" s="301" t="s">
        <v>470</v>
      </c>
      <c r="FBA335" s="301" t="s">
        <v>470</v>
      </c>
      <c r="FBB335" s="301" t="s">
        <v>470</v>
      </c>
      <c r="FBC335" s="301" t="s">
        <v>470</v>
      </c>
      <c r="FBD335" s="301" t="s">
        <v>470</v>
      </c>
      <c r="FBE335" s="301" t="s">
        <v>470</v>
      </c>
      <c r="FBF335" s="301" t="s">
        <v>470</v>
      </c>
      <c r="FBG335" s="301" t="s">
        <v>470</v>
      </c>
      <c r="FBH335" s="301" t="s">
        <v>470</v>
      </c>
      <c r="FBI335" s="301" t="s">
        <v>470</v>
      </c>
      <c r="FBJ335" s="301" t="s">
        <v>470</v>
      </c>
      <c r="FBK335" s="301" t="s">
        <v>470</v>
      </c>
      <c r="FBL335" s="301" t="s">
        <v>470</v>
      </c>
      <c r="FBM335" s="301" t="s">
        <v>470</v>
      </c>
      <c r="FBN335" s="301" t="s">
        <v>470</v>
      </c>
      <c r="FBO335" s="301" t="s">
        <v>470</v>
      </c>
      <c r="FBP335" s="301" t="s">
        <v>470</v>
      </c>
      <c r="FBQ335" s="301" t="s">
        <v>470</v>
      </c>
      <c r="FBR335" s="301" t="s">
        <v>470</v>
      </c>
      <c r="FBS335" s="301" t="s">
        <v>470</v>
      </c>
      <c r="FBT335" s="301" t="s">
        <v>470</v>
      </c>
      <c r="FBU335" s="301" t="s">
        <v>470</v>
      </c>
      <c r="FBV335" s="301" t="s">
        <v>470</v>
      </c>
      <c r="FBW335" s="301" t="s">
        <v>470</v>
      </c>
      <c r="FBX335" s="301" t="s">
        <v>470</v>
      </c>
      <c r="FBY335" s="301" t="s">
        <v>470</v>
      </c>
      <c r="FBZ335" s="301" t="s">
        <v>470</v>
      </c>
      <c r="FCA335" s="301" t="s">
        <v>470</v>
      </c>
      <c r="FCB335" s="301" t="s">
        <v>470</v>
      </c>
      <c r="FCC335" s="301" t="s">
        <v>470</v>
      </c>
      <c r="FCD335" s="301" t="s">
        <v>470</v>
      </c>
      <c r="FCE335" s="301" t="s">
        <v>470</v>
      </c>
      <c r="FCF335" s="301" t="s">
        <v>470</v>
      </c>
      <c r="FCG335" s="301" t="s">
        <v>470</v>
      </c>
      <c r="FCH335" s="301" t="s">
        <v>470</v>
      </c>
      <c r="FCI335" s="301" t="s">
        <v>470</v>
      </c>
      <c r="FCJ335" s="301" t="s">
        <v>470</v>
      </c>
      <c r="FCK335" s="301" t="s">
        <v>470</v>
      </c>
      <c r="FCL335" s="301" t="s">
        <v>470</v>
      </c>
      <c r="FCM335" s="301" t="s">
        <v>470</v>
      </c>
      <c r="FCN335" s="301" t="s">
        <v>470</v>
      </c>
      <c r="FCO335" s="301" t="s">
        <v>470</v>
      </c>
      <c r="FCP335" s="301" t="s">
        <v>470</v>
      </c>
      <c r="FCQ335" s="301" t="s">
        <v>470</v>
      </c>
      <c r="FCR335" s="301" t="s">
        <v>470</v>
      </c>
      <c r="FCS335" s="301" t="s">
        <v>470</v>
      </c>
      <c r="FCT335" s="301" t="s">
        <v>470</v>
      </c>
      <c r="FCU335" s="301" t="s">
        <v>470</v>
      </c>
      <c r="FCV335" s="301" t="s">
        <v>470</v>
      </c>
      <c r="FCW335" s="301" t="s">
        <v>470</v>
      </c>
      <c r="FCX335" s="301" t="s">
        <v>470</v>
      </c>
      <c r="FCY335" s="301" t="s">
        <v>470</v>
      </c>
      <c r="FCZ335" s="301" t="s">
        <v>470</v>
      </c>
      <c r="FDA335" s="301" t="s">
        <v>470</v>
      </c>
      <c r="FDB335" s="301" t="s">
        <v>470</v>
      </c>
      <c r="FDC335" s="301" t="s">
        <v>470</v>
      </c>
      <c r="FDD335" s="301" t="s">
        <v>470</v>
      </c>
      <c r="FDE335" s="301" t="s">
        <v>470</v>
      </c>
      <c r="FDF335" s="301" t="s">
        <v>470</v>
      </c>
      <c r="FDG335" s="301" t="s">
        <v>470</v>
      </c>
      <c r="FDH335" s="301" t="s">
        <v>470</v>
      </c>
      <c r="FDI335" s="301" t="s">
        <v>470</v>
      </c>
      <c r="FDJ335" s="301" t="s">
        <v>470</v>
      </c>
      <c r="FDK335" s="301" t="s">
        <v>470</v>
      </c>
      <c r="FDL335" s="301" t="s">
        <v>470</v>
      </c>
      <c r="FDM335" s="301" t="s">
        <v>470</v>
      </c>
      <c r="FDN335" s="301" t="s">
        <v>470</v>
      </c>
      <c r="FDO335" s="301" t="s">
        <v>470</v>
      </c>
      <c r="FDP335" s="301" t="s">
        <v>470</v>
      </c>
      <c r="FDQ335" s="301" t="s">
        <v>470</v>
      </c>
      <c r="FDR335" s="301" t="s">
        <v>470</v>
      </c>
      <c r="FDS335" s="301" t="s">
        <v>470</v>
      </c>
      <c r="FDT335" s="301" t="s">
        <v>470</v>
      </c>
      <c r="FDU335" s="301" t="s">
        <v>470</v>
      </c>
      <c r="FDV335" s="301" t="s">
        <v>470</v>
      </c>
      <c r="FDW335" s="301" t="s">
        <v>470</v>
      </c>
      <c r="FDX335" s="301" t="s">
        <v>470</v>
      </c>
      <c r="FDY335" s="301" t="s">
        <v>470</v>
      </c>
      <c r="FDZ335" s="301" t="s">
        <v>470</v>
      </c>
      <c r="FEA335" s="301" t="s">
        <v>470</v>
      </c>
      <c r="FEB335" s="301" t="s">
        <v>470</v>
      </c>
      <c r="FEC335" s="301" t="s">
        <v>470</v>
      </c>
      <c r="FED335" s="301" t="s">
        <v>470</v>
      </c>
      <c r="FEE335" s="301" t="s">
        <v>470</v>
      </c>
      <c r="FEF335" s="301" t="s">
        <v>470</v>
      </c>
      <c r="FEG335" s="301" t="s">
        <v>470</v>
      </c>
      <c r="FEH335" s="301" t="s">
        <v>470</v>
      </c>
      <c r="FEI335" s="301" t="s">
        <v>470</v>
      </c>
      <c r="FEJ335" s="301" t="s">
        <v>470</v>
      </c>
      <c r="FEK335" s="301" t="s">
        <v>470</v>
      </c>
      <c r="FEL335" s="301" t="s">
        <v>470</v>
      </c>
      <c r="FEM335" s="301" t="s">
        <v>470</v>
      </c>
      <c r="FEN335" s="301" t="s">
        <v>470</v>
      </c>
      <c r="FEO335" s="301" t="s">
        <v>470</v>
      </c>
      <c r="FEP335" s="301" t="s">
        <v>470</v>
      </c>
      <c r="FEQ335" s="301" t="s">
        <v>470</v>
      </c>
      <c r="FER335" s="301" t="s">
        <v>470</v>
      </c>
      <c r="FES335" s="301" t="s">
        <v>470</v>
      </c>
      <c r="FET335" s="301" t="s">
        <v>470</v>
      </c>
      <c r="FEU335" s="301" t="s">
        <v>470</v>
      </c>
      <c r="FEV335" s="301" t="s">
        <v>470</v>
      </c>
      <c r="FEW335" s="301" t="s">
        <v>470</v>
      </c>
      <c r="FEX335" s="301" t="s">
        <v>470</v>
      </c>
      <c r="FEY335" s="301" t="s">
        <v>470</v>
      </c>
      <c r="FEZ335" s="301" t="s">
        <v>470</v>
      </c>
      <c r="FFA335" s="301" t="s">
        <v>470</v>
      </c>
      <c r="FFB335" s="301" t="s">
        <v>470</v>
      </c>
      <c r="FFC335" s="301" t="s">
        <v>470</v>
      </c>
      <c r="FFD335" s="301" t="s">
        <v>470</v>
      </c>
      <c r="FFE335" s="301" t="s">
        <v>470</v>
      </c>
      <c r="FFF335" s="301" t="s">
        <v>470</v>
      </c>
      <c r="FFG335" s="301" t="s">
        <v>470</v>
      </c>
      <c r="FFH335" s="301" t="s">
        <v>470</v>
      </c>
      <c r="FFI335" s="301" t="s">
        <v>470</v>
      </c>
      <c r="FFJ335" s="301" t="s">
        <v>470</v>
      </c>
      <c r="FFK335" s="301" t="s">
        <v>470</v>
      </c>
      <c r="FFL335" s="301" t="s">
        <v>470</v>
      </c>
      <c r="FFM335" s="301" t="s">
        <v>470</v>
      </c>
      <c r="FFN335" s="301" t="s">
        <v>470</v>
      </c>
      <c r="FFO335" s="301" t="s">
        <v>470</v>
      </c>
      <c r="FFP335" s="301" t="s">
        <v>470</v>
      </c>
      <c r="FFQ335" s="301" t="s">
        <v>470</v>
      </c>
      <c r="FFR335" s="301" t="s">
        <v>470</v>
      </c>
      <c r="FFS335" s="301" t="s">
        <v>470</v>
      </c>
      <c r="FFT335" s="301" t="s">
        <v>470</v>
      </c>
      <c r="FFU335" s="301" t="s">
        <v>470</v>
      </c>
      <c r="FFV335" s="301" t="s">
        <v>470</v>
      </c>
      <c r="FFW335" s="301" t="s">
        <v>470</v>
      </c>
      <c r="FFX335" s="301" t="s">
        <v>470</v>
      </c>
      <c r="FFY335" s="301" t="s">
        <v>470</v>
      </c>
      <c r="FFZ335" s="301" t="s">
        <v>470</v>
      </c>
      <c r="FGA335" s="301" t="s">
        <v>470</v>
      </c>
      <c r="FGB335" s="301" t="s">
        <v>470</v>
      </c>
      <c r="FGC335" s="301" t="s">
        <v>470</v>
      </c>
      <c r="FGD335" s="301" t="s">
        <v>470</v>
      </c>
      <c r="FGE335" s="301" t="s">
        <v>470</v>
      </c>
      <c r="FGF335" s="301" t="s">
        <v>470</v>
      </c>
      <c r="FGG335" s="301" t="s">
        <v>470</v>
      </c>
      <c r="FGH335" s="301" t="s">
        <v>470</v>
      </c>
      <c r="FGI335" s="301" t="s">
        <v>470</v>
      </c>
      <c r="FGJ335" s="301" t="s">
        <v>470</v>
      </c>
      <c r="FGK335" s="301" t="s">
        <v>470</v>
      </c>
      <c r="FGL335" s="301" t="s">
        <v>470</v>
      </c>
      <c r="FGM335" s="301" t="s">
        <v>470</v>
      </c>
      <c r="FGN335" s="301" t="s">
        <v>470</v>
      </c>
      <c r="FGO335" s="301" t="s">
        <v>470</v>
      </c>
      <c r="FGP335" s="301" t="s">
        <v>470</v>
      </c>
      <c r="FGQ335" s="301" t="s">
        <v>470</v>
      </c>
      <c r="FGR335" s="301" t="s">
        <v>470</v>
      </c>
      <c r="FGS335" s="301" t="s">
        <v>470</v>
      </c>
      <c r="FGT335" s="301" t="s">
        <v>470</v>
      </c>
      <c r="FGU335" s="301" t="s">
        <v>470</v>
      </c>
      <c r="FGV335" s="301" t="s">
        <v>470</v>
      </c>
      <c r="FGW335" s="301" t="s">
        <v>470</v>
      </c>
      <c r="FGX335" s="301" t="s">
        <v>470</v>
      </c>
      <c r="FGY335" s="301" t="s">
        <v>470</v>
      </c>
      <c r="FGZ335" s="301" t="s">
        <v>470</v>
      </c>
      <c r="FHA335" s="301" t="s">
        <v>470</v>
      </c>
      <c r="FHB335" s="301" t="s">
        <v>470</v>
      </c>
      <c r="FHC335" s="301" t="s">
        <v>470</v>
      </c>
      <c r="FHD335" s="301" t="s">
        <v>470</v>
      </c>
      <c r="FHE335" s="301" t="s">
        <v>470</v>
      </c>
      <c r="FHF335" s="301" t="s">
        <v>470</v>
      </c>
      <c r="FHG335" s="301" t="s">
        <v>470</v>
      </c>
      <c r="FHH335" s="301" t="s">
        <v>470</v>
      </c>
      <c r="FHI335" s="301" t="s">
        <v>470</v>
      </c>
      <c r="FHJ335" s="301" t="s">
        <v>470</v>
      </c>
      <c r="FHK335" s="301" t="s">
        <v>470</v>
      </c>
      <c r="FHL335" s="301" t="s">
        <v>470</v>
      </c>
      <c r="FHM335" s="301" t="s">
        <v>470</v>
      </c>
      <c r="FHN335" s="301" t="s">
        <v>470</v>
      </c>
      <c r="FHO335" s="301" t="s">
        <v>470</v>
      </c>
      <c r="FHP335" s="301" t="s">
        <v>470</v>
      </c>
      <c r="FHQ335" s="301" t="s">
        <v>470</v>
      </c>
      <c r="FHR335" s="301" t="s">
        <v>470</v>
      </c>
      <c r="FHS335" s="301" t="s">
        <v>470</v>
      </c>
      <c r="FHT335" s="301" t="s">
        <v>470</v>
      </c>
      <c r="FHU335" s="301" t="s">
        <v>470</v>
      </c>
      <c r="FHV335" s="301" t="s">
        <v>470</v>
      </c>
      <c r="FHW335" s="301" t="s">
        <v>470</v>
      </c>
      <c r="FHX335" s="301" t="s">
        <v>470</v>
      </c>
      <c r="FHY335" s="301" t="s">
        <v>470</v>
      </c>
      <c r="FHZ335" s="301" t="s">
        <v>470</v>
      </c>
      <c r="FIA335" s="301" t="s">
        <v>470</v>
      </c>
      <c r="FIB335" s="301" t="s">
        <v>470</v>
      </c>
      <c r="FIC335" s="301" t="s">
        <v>470</v>
      </c>
      <c r="FID335" s="301" t="s">
        <v>470</v>
      </c>
      <c r="FIE335" s="301" t="s">
        <v>470</v>
      </c>
      <c r="FIF335" s="301" t="s">
        <v>470</v>
      </c>
      <c r="FIG335" s="301" t="s">
        <v>470</v>
      </c>
      <c r="FIH335" s="301" t="s">
        <v>470</v>
      </c>
      <c r="FII335" s="301" t="s">
        <v>470</v>
      </c>
      <c r="FIJ335" s="301" t="s">
        <v>470</v>
      </c>
      <c r="FIK335" s="301" t="s">
        <v>470</v>
      </c>
      <c r="FIL335" s="301" t="s">
        <v>470</v>
      </c>
      <c r="FIM335" s="301" t="s">
        <v>470</v>
      </c>
      <c r="FIN335" s="301" t="s">
        <v>470</v>
      </c>
      <c r="FIO335" s="301" t="s">
        <v>470</v>
      </c>
      <c r="FIP335" s="301" t="s">
        <v>470</v>
      </c>
      <c r="FIQ335" s="301" t="s">
        <v>470</v>
      </c>
      <c r="FIR335" s="301" t="s">
        <v>470</v>
      </c>
      <c r="FIS335" s="301" t="s">
        <v>470</v>
      </c>
      <c r="FIT335" s="301" t="s">
        <v>470</v>
      </c>
      <c r="FIU335" s="301" t="s">
        <v>470</v>
      </c>
      <c r="FIV335" s="301" t="s">
        <v>470</v>
      </c>
      <c r="FIW335" s="301" t="s">
        <v>470</v>
      </c>
      <c r="FIX335" s="301" t="s">
        <v>470</v>
      </c>
      <c r="FIY335" s="301" t="s">
        <v>470</v>
      </c>
      <c r="FIZ335" s="301" t="s">
        <v>470</v>
      </c>
      <c r="FJA335" s="301" t="s">
        <v>470</v>
      </c>
      <c r="FJB335" s="301" t="s">
        <v>470</v>
      </c>
      <c r="FJC335" s="301" t="s">
        <v>470</v>
      </c>
      <c r="FJD335" s="301" t="s">
        <v>470</v>
      </c>
      <c r="FJE335" s="301" t="s">
        <v>470</v>
      </c>
      <c r="FJF335" s="301" t="s">
        <v>470</v>
      </c>
      <c r="FJG335" s="301" t="s">
        <v>470</v>
      </c>
      <c r="FJH335" s="301" t="s">
        <v>470</v>
      </c>
      <c r="FJI335" s="301" t="s">
        <v>470</v>
      </c>
      <c r="FJJ335" s="301" t="s">
        <v>470</v>
      </c>
      <c r="FJK335" s="301" t="s">
        <v>470</v>
      </c>
      <c r="FJL335" s="301" t="s">
        <v>470</v>
      </c>
      <c r="FJM335" s="301" t="s">
        <v>470</v>
      </c>
      <c r="FJN335" s="301" t="s">
        <v>470</v>
      </c>
      <c r="FJO335" s="301" t="s">
        <v>470</v>
      </c>
      <c r="FJP335" s="301" t="s">
        <v>470</v>
      </c>
      <c r="FJQ335" s="301" t="s">
        <v>470</v>
      </c>
      <c r="FJR335" s="301" t="s">
        <v>470</v>
      </c>
      <c r="FJS335" s="301" t="s">
        <v>470</v>
      </c>
      <c r="FJT335" s="301" t="s">
        <v>470</v>
      </c>
      <c r="FJU335" s="301" t="s">
        <v>470</v>
      </c>
      <c r="FJV335" s="301" t="s">
        <v>470</v>
      </c>
      <c r="FJW335" s="301" t="s">
        <v>470</v>
      </c>
      <c r="FJX335" s="301" t="s">
        <v>470</v>
      </c>
      <c r="FJY335" s="301" t="s">
        <v>470</v>
      </c>
      <c r="FJZ335" s="301" t="s">
        <v>470</v>
      </c>
      <c r="FKA335" s="301" t="s">
        <v>470</v>
      </c>
      <c r="FKB335" s="301" t="s">
        <v>470</v>
      </c>
      <c r="FKC335" s="301" t="s">
        <v>470</v>
      </c>
      <c r="FKD335" s="301" t="s">
        <v>470</v>
      </c>
      <c r="FKE335" s="301" t="s">
        <v>470</v>
      </c>
      <c r="FKF335" s="301" t="s">
        <v>470</v>
      </c>
      <c r="FKG335" s="301" t="s">
        <v>470</v>
      </c>
      <c r="FKH335" s="301" t="s">
        <v>470</v>
      </c>
      <c r="FKI335" s="301" t="s">
        <v>470</v>
      </c>
      <c r="FKJ335" s="301" t="s">
        <v>470</v>
      </c>
      <c r="FKK335" s="301" t="s">
        <v>470</v>
      </c>
      <c r="FKL335" s="301" t="s">
        <v>470</v>
      </c>
      <c r="FKM335" s="301" t="s">
        <v>470</v>
      </c>
      <c r="FKN335" s="301" t="s">
        <v>470</v>
      </c>
      <c r="FKO335" s="301" t="s">
        <v>470</v>
      </c>
      <c r="FKP335" s="301" t="s">
        <v>470</v>
      </c>
      <c r="FKQ335" s="301" t="s">
        <v>470</v>
      </c>
      <c r="FKR335" s="301" t="s">
        <v>470</v>
      </c>
      <c r="FKS335" s="301" t="s">
        <v>470</v>
      </c>
      <c r="FKT335" s="301" t="s">
        <v>470</v>
      </c>
      <c r="FKU335" s="301" t="s">
        <v>470</v>
      </c>
      <c r="FKV335" s="301" t="s">
        <v>470</v>
      </c>
      <c r="FKW335" s="301" t="s">
        <v>470</v>
      </c>
      <c r="FKX335" s="301" t="s">
        <v>470</v>
      </c>
      <c r="FKY335" s="301" t="s">
        <v>470</v>
      </c>
      <c r="FKZ335" s="301" t="s">
        <v>470</v>
      </c>
      <c r="FLA335" s="301" t="s">
        <v>470</v>
      </c>
      <c r="FLB335" s="301" t="s">
        <v>470</v>
      </c>
      <c r="FLC335" s="301" t="s">
        <v>470</v>
      </c>
      <c r="FLD335" s="301" t="s">
        <v>470</v>
      </c>
      <c r="FLE335" s="301" t="s">
        <v>470</v>
      </c>
      <c r="FLF335" s="301" t="s">
        <v>470</v>
      </c>
      <c r="FLG335" s="301" t="s">
        <v>470</v>
      </c>
      <c r="FLH335" s="301" t="s">
        <v>470</v>
      </c>
      <c r="FLI335" s="301" t="s">
        <v>470</v>
      </c>
      <c r="FLJ335" s="301" t="s">
        <v>470</v>
      </c>
      <c r="FLK335" s="301" t="s">
        <v>470</v>
      </c>
      <c r="FLL335" s="301" t="s">
        <v>470</v>
      </c>
      <c r="FLM335" s="301" t="s">
        <v>470</v>
      </c>
      <c r="FLN335" s="301" t="s">
        <v>470</v>
      </c>
      <c r="FLO335" s="301" t="s">
        <v>470</v>
      </c>
      <c r="FLP335" s="301" t="s">
        <v>470</v>
      </c>
      <c r="FLQ335" s="301" t="s">
        <v>470</v>
      </c>
      <c r="FLR335" s="301" t="s">
        <v>470</v>
      </c>
      <c r="FLS335" s="301" t="s">
        <v>470</v>
      </c>
      <c r="FLT335" s="301" t="s">
        <v>470</v>
      </c>
      <c r="FLU335" s="301" t="s">
        <v>470</v>
      </c>
      <c r="FLV335" s="301" t="s">
        <v>470</v>
      </c>
      <c r="FLW335" s="301" t="s">
        <v>470</v>
      </c>
      <c r="FLX335" s="301" t="s">
        <v>470</v>
      </c>
      <c r="FLY335" s="301" t="s">
        <v>470</v>
      </c>
      <c r="FLZ335" s="301" t="s">
        <v>470</v>
      </c>
      <c r="FMA335" s="301" t="s">
        <v>470</v>
      </c>
      <c r="FMB335" s="301" t="s">
        <v>470</v>
      </c>
      <c r="FMC335" s="301" t="s">
        <v>470</v>
      </c>
      <c r="FMD335" s="301" t="s">
        <v>470</v>
      </c>
      <c r="FME335" s="301" t="s">
        <v>470</v>
      </c>
      <c r="FMF335" s="301" t="s">
        <v>470</v>
      </c>
      <c r="FMG335" s="301" t="s">
        <v>470</v>
      </c>
      <c r="FMH335" s="301" t="s">
        <v>470</v>
      </c>
      <c r="FMI335" s="301" t="s">
        <v>470</v>
      </c>
      <c r="FMJ335" s="301" t="s">
        <v>470</v>
      </c>
      <c r="FMK335" s="301" t="s">
        <v>470</v>
      </c>
      <c r="FML335" s="301" t="s">
        <v>470</v>
      </c>
      <c r="FMM335" s="301" t="s">
        <v>470</v>
      </c>
      <c r="FMN335" s="301" t="s">
        <v>470</v>
      </c>
      <c r="FMO335" s="301" t="s">
        <v>470</v>
      </c>
      <c r="FMP335" s="301" t="s">
        <v>470</v>
      </c>
      <c r="FMQ335" s="301" t="s">
        <v>470</v>
      </c>
      <c r="FMR335" s="301" t="s">
        <v>470</v>
      </c>
      <c r="FMS335" s="301" t="s">
        <v>470</v>
      </c>
      <c r="FMT335" s="301" t="s">
        <v>470</v>
      </c>
      <c r="FMU335" s="301" t="s">
        <v>470</v>
      </c>
      <c r="FMV335" s="301" t="s">
        <v>470</v>
      </c>
      <c r="FMW335" s="301" t="s">
        <v>470</v>
      </c>
      <c r="FMX335" s="301" t="s">
        <v>470</v>
      </c>
      <c r="FMY335" s="301" t="s">
        <v>470</v>
      </c>
      <c r="FMZ335" s="301" t="s">
        <v>470</v>
      </c>
      <c r="FNA335" s="301" t="s">
        <v>470</v>
      </c>
      <c r="FNB335" s="301" t="s">
        <v>470</v>
      </c>
      <c r="FNC335" s="301" t="s">
        <v>470</v>
      </c>
      <c r="FND335" s="301" t="s">
        <v>470</v>
      </c>
      <c r="FNE335" s="301" t="s">
        <v>470</v>
      </c>
      <c r="FNF335" s="301" t="s">
        <v>470</v>
      </c>
      <c r="FNG335" s="301" t="s">
        <v>470</v>
      </c>
      <c r="FNH335" s="301" t="s">
        <v>470</v>
      </c>
      <c r="FNI335" s="301" t="s">
        <v>470</v>
      </c>
      <c r="FNJ335" s="301" t="s">
        <v>470</v>
      </c>
      <c r="FNK335" s="301" t="s">
        <v>470</v>
      </c>
      <c r="FNL335" s="301" t="s">
        <v>470</v>
      </c>
      <c r="FNM335" s="301" t="s">
        <v>470</v>
      </c>
      <c r="FNN335" s="301" t="s">
        <v>470</v>
      </c>
      <c r="FNO335" s="301" t="s">
        <v>470</v>
      </c>
      <c r="FNP335" s="301" t="s">
        <v>470</v>
      </c>
      <c r="FNQ335" s="301" t="s">
        <v>470</v>
      </c>
      <c r="FNR335" s="301" t="s">
        <v>470</v>
      </c>
      <c r="FNS335" s="301" t="s">
        <v>470</v>
      </c>
      <c r="FNT335" s="301" t="s">
        <v>470</v>
      </c>
      <c r="FNU335" s="301" t="s">
        <v>470</v>
      </c>
      <c r="FNV335" s="301" t="s">
        <v>470</v>
      </c>
      <c r="FNW335" s="301" t="s">
        <v>470</v>
      </c>
      <c r="FNX335" s="301" t="s">
        <v>470</v>
      </c>
      <c r="FNY335" s="301" t="s">
        <v>470</v>
      </c>
      <c r="FNZ335" s="301" t="s">
        <v>470</v>
      </c>
      <c r="FOA335" s="301" t="s">
        <v>470</v>
      </c>
      <c r="FOB335" s="301" t="s">
        <v>470</v>
      </c>
      <c r="FOC335" s="301" t="s">
        <v>470</v>
      </c>
      <c r="FOD335" s="301" t="s">
        <v>470</v>
      </c>
      <c r="FOE335" s="301" t="s">
        <v>470</v>
      </c>
      <c r="FOF335" s="301" t="s">
        <v>470</v>
      </c>
      <c r="FOG335" s="301" t="s">
        <v>470</v>
      </c>
      <c r="FOH335" s="301" t="s">
        <v>470</v>
      </c>
      <c r="FOI335" s="301" t="s">
        <v>470</v>
      </c>
      <c r="FOJ335" s="301" t="s">
        <v>470</v>
      </c>
      <c r="FOK335" s="301" t="s">
        <v>470</v>
      </c>
      <c r="FOL335" s="301" t="s">
        <v>470</v>
      </c>
      <c r="FOM335" s="301" t="s">
        <v>470</v>
      </c>
      <c r="FON335" s="301" t="s">
        <v>470</v>
      </c>
      <c r="FOO335" s="301" t="s">
        <v>470</v>
      </c>
      <c r="FOP335" s="301" t="s">
        <v>470</v>
      </c>
      <c r="FOQ335" s="301" t="s">
        <v>470</v>
      </c>
      <c r="FOR335" s="301" t="s">
        <v>470</v>
      </c>
      <c r="FOS335" s="301" t="s">
        <v>470</v>
      </c>
      <c r="FOT335" s="301" t="s">
        <v>470</v>
      </c>
      <c r="FOU335" s="301" t="s">
        <v>470</v>
      </c>
      <c r="FOV335" s="301" t="s">
        <v>470</v>
      </c>
      <c r="FOW335" s="301" t="s">
        <v>470</v>
      </c>
      <c r="FOX335" s="301" t="s">
        <v>470</v>
      </c>
      <c r="FOY335" s="301" t="s">
        <v>470</v>
      </c>
      <c r="FOZ335" s="301" t="s">
        <v>470</v>
      </c>
      <c r="FPA335" s="301" t="s">
        <v>470</v>
      </c>
      <c r="FPB335" s="301" t="s">
        <v>470</v>
      </c>
      <c r="FPC335" s="301" t="s">
        <v>470</v>
      </c>
      <c r="FPD335" s="301" t="s">
        <v>470</v>
      </c>
      <c r="FPE335" s="301" t="s">
        <v>470</v>
      </c>
      <c r="FPF335" s="301" t="s">
        <v>470</v>
      </c>
      <c r="FPG335" s="301" t="s">
        <v>470</v>
      </c>
      <c r="FPH335" s="301" t="s">
        <v>470</v>
      </c>
      <c r="FPI335" s="301" t="s">
        <v>470</v>
      </c>
      <c r="FPJ335" s="301" t="s">
        <v>470</v>
      </c>
      <c r="FPK335" s="301" t="s">
        <v>470</v>
      </c>
      <c r="FPL335" s="301" t="s">
        <v>470</v>
      </c>
      <c r="FPM335" s="301" t="s">
        <v>470</v>
      </c>
      <c r="FPN335" s="301" t="s">
        <v>470</v>
      </c>
      <c r="FPO335" s="301" t="s">
        <v>470</v>
      </c>
      <c r="FPP335" s="301" t="s">
        <v>470</v>
      </c>
      <c r="FPQ335" s="301" t="s">
        <v>470</v>
      </c>
      <c r="FPR335" s="301" t="s">
        <v>470</v>
      </c>
      <c r="FPS335" s="301" t="s">
        <v>470</v>
      </c>
      <c r="FPT335" s="301" t="s">
        <v>470</v>
      </c>
      <c r="FPU335" s="301" t="s">
        <v>470</v>
      </c>
      <c r="FPV335" s="301" t="s">
        <v>470</v>
      </c>
      <c r="FPW335" s="301" t="s">
        <v>470</v>
      </c>
      <c r="FPX335" s="301" t="s">
        <v>470</v>
      </c>
      <c r="FPY335" s="301" t="s">
        <v>470</v>
      </c>
      <c r="FPZ335" s="301" t="s">
        <v>470</v>
      </c>
      <c r="FQA335" s="301" t="s">
        <v>470</v>
      </c>
      <c r="FQB335" s="301" t="s">
        <v>470</v>
      </c>
      <c r="FQC335" s="301" t="s">
        <v>470</v>
      </c>
      <c r="FQD335" s="301" t="s">
        <v>470</v>
      </c>
      <c r="FQE335" s="301" t="s">
        <v>470</v>
      </c>
      <c r="FQF335" s="301" t="s">
        <v>470</v>
      </c>
      <c r="FQG335" s="301" t="s">
        <v>470</v>
      </c>
      <c r="FQH335" s="301" t="s">
        <v>470</v>
      </c>
      <c r="FQI335" s="301" t="s">
        <v>470</v>
      </c>
      <c r="FQJ335" s="301" t="s">
        <v>470</v>
      </c>
      <c r="FQK335" s="301" t="s">
        <v>470</v>
      </c>
      <c r="FQL335" s="301" t="s">
        <v>470</v>
      </c>
      <c r="FQM335" s="301" t="s">
        <v>470</v>
      </c>
      <c r="FQN335" s="301" t="s">
        <v>470</v>
      </c>
      <c r="FQO335" s="301" t="s">
        <v>470</v>
      </c>
      <c r="FQP335" s="301" t="s">
        <v>470</v>
      </c>
      <c r="FQQ335" s="301" t="s">
        <v>470</v>
      </c>
      <c r="FQR335" s="301" t="s">
        <v>470</v>
      </c>
      <c r="FQS335" s="301" t="s">
        <v>470</v>
      </c>
      <c r="FQT335" s="301" t="s">
        <v>470</v>
      </c>
      <c r="FQU335" s="301" t="s">
        <v>470</v>
      </c>
      <c r="FQV335" s="301" t="s">
        <v>470</v>
      </c>
      <c r="FQW335" s="301" t="s">
        <v>470</v>
      </c>
      <c r="FQX335" s="301" t="s">
        <v>470</v>
      </c>
      <c r="FQY335" s="301" t="s">
        <v>470</v>
      </c>
      <c r="FQZ335" s="301" t="s">
        <v>470</v>
      </c>
      <c r="FRA335" s="301" t="s">
        <v>470</v>
      </c>
      <c r="FRB335" s="301" t="s">
        <v>470</v>
      </c>
      <c r="FRC335" s="301" t="s">
        <v>470</v>
      </c>
      <c r="FRD335" s="301" t="s">
        <v>470</v>
      </c>
      <c r="FRE335" s="301" t="s">
        <v>470</v>
      </c>
      <c r="FRF335" s="301" t="s">
        <v>470</v>
      </c>
      <c r="FRG335" s="301" t="s">
        <v>470</v>
      </c>
      <c r="FRH335" s="301" t="s">
        <v>470</v>
      </c>
      <c r="FRI335" s="301" t="s">
        <v>470</v>
      </c>
      <c r="FRJ335" s="301" t="s">
        <v>470</v>
      </c>
      <c r="FRK335" s="301" t="s">
        <v>470</v>
      </c>
      <c r="FRL335" s="301" t="s">
        <v>470</v>
      </c>
      <c r="FRM335" s="301" t="s">
        <v>470</v>
      </c>
      <c r="FRN335" s="301" t="s">
        <v>470</v>
      </c>
      <c r="FRO335" s="301" t="s">
        <v>470</v>
      </c>
      <c r="FRP335" s="301" t="s">
        <v>470</v>
      </c>
      <c r="FRQ335" s="301" t="s">
        <v>470</v>
      </c>
      <c r="FRR335" s="301" t="s">
        <v>470</v>
      </c>
      <c r="FRS335" s="301" t="s">
        <v>470</v>
      </c>
      <c r="FRT335" s="301" t="s">
        <v>470</v>
      </c>
      <c r="FRU335" s="301" t="s">
        <v>470</v>
      </c>
      <c r="FRV335" s="301" t="s">
        <v>470</v>
      </c>
      <c r="FRW335" s="301" t="s">
        <v>470</v>
      </c>
      <c r="FRX335" s="301" t="s">
        <v>470</v>
      </c>
      <c r="FRY335" s="301" t="s">
        <v>470</v>
      </c>
      <c r="FRZ335" s="301" t="s">
        <v>470</v>
      </c>
      <c r="FSA335" s="301" t="s">
        <v>470</v>
      </c>
      <c r="FSB335" s="301" t="s">
        <v>470</v>
      </c>
      <c r="FSC335" s="301" t="s">
        <v>470</v>
      </c>
      <c r="FSD335" s="301" t="s">
        <v>470</v>
      </c>
      <c r="FSE335" s="301" t="s">
        <v>470</v>
      </c>
      <c r="FSF335" s="301" t="s">
        <v>470</v>
      </c>
      <c r="FSG335" s="301" t="s">
        <v>470</v>
      </c>
      <c r="FSH335" s="301" t="s">
        <v>470</v>
      </c>
      <c r="FSI335" s="301" t="s">
        <v>470</v>
      </c>
      <c r="FSJ335" s="301" t="s">
        <v>470</v>
      </c>
      <c r="FSK335" s="301" t="s">
        <v>470</v>
      </c>
      <c r="FSL335" s="301" t="s">
        <v>470</v>
      </c>
      <c r="FSM335" s="301" t="s">
        <v>470</v>
      </c>
      <c r="FSN335" s="301" t="s">
        <v>470</v>
      </c>
      <c r="FSO335" s="301" t="s">
        <v>470</v>
      </c>
      <c r="FSP335" s="301" t="s">
        <v>470</v>
      </c>
      <c r="FSQ335" s="301" t="s">
        <v>470</v>
      </c>
      <c r="FSR335" s="301" t="s">
        <v>470</v>
      </c>
      <c r="FSS335" s="301" t="s">
        <v>470</v>
      </c>
      <c r="FST335" s="301" t="s">
        <v>470</v>
      </c>
      <c r="FSU335" s="301" t="s">
        <v>470</v>
      </c>
      <c r="FSV335" s="301" t="s">
        <v>470</v>
      </c>
      <c r="FSW335" s="301" t="s">
        <v>470</v>
      </c>
      <c r="FSX335" s="301" t="s">
        <v>470</v>
      </c>
      <c r="FSY335" s="301" t="s">
        <v>470</v>
      </c>
      <c r="FSZ335" s="301" t="s">
        <v>470</v>
      </c>
      <c r="FTA335" s="301" t="s">
        <v>470</v>
      </c>
      <c r="FTB335" s="301" t="s">
        <v>470</v>
      </c>
      <c r="FTC335" s="301" t="s">
        <v>470</v>
      </c>
      <c r="FTD335" s="301" t="s">
        <v>470</v>
      </c>
      <c r="FTE335" s="301" t="s">
        <v>470</v>
      </c>
      <c r="FTF335" s="301" t="s">
        <v>470</v>
      </c>
      <c r="FTG335" s="301" t="s">
        <v>470</v>
      </c>
      <c r="FTH335" s="301" t="s">
        <v>470</v>
      </c>
      <c r="FTI335" s="301" t="s">
        <v>470</v>
      </c>
      <c r="FTJ335" s="301" t="s">
        <v>470</v>
      </c>
      <c r="FTK335" s="301" t="s">
        <v>470</v>
      </c>
      <c r="FTL335" s="301" t="s">
        <v>470</v>
      </c>
      <c r="FTM335" s="301" t="s">
        <v>470</v>
      </c>
      <c r="FTN335" s="301" t="s">
        <v>470</v>
      </c>
      <c r="FTO335" s="301" t="s">
        <v>470</v>
      </c>
      <c r="FTP335" s="301" t="s">
        <v>470</v>
      </c>
      <c r="FTQ335" s="301" t="s">
        <v>470</v>
      </c>
      <c r="FTR335" s="301" t="s">
        <v>470</v>
      </c>
      <c r="FTS335" s="301" t="s">
        <v>470</v>
      </c>
      <c r="FTT335" s="301" t="s">
        <v>470</v>
      </c>
      <c r="FTU335" s="301" t="s">
        <v>470</v>
      </c>
      <c r="FTV335" s="301" t="s">
        <v>470</v>
      </c>
      <c r="FTW335" s="301" t="s">
        <v>470</v>
      </c>
      <c r="FTX335" s="301" t="s">
        <v>470</v>
      </c>
      <c r="FTY335" s="301" t="s">
        <v>470</v>
      </c>
      <c r="FTZ335" s="301" t="s">
        <v>470</v>
      </c>
      <c r="FUA335" s="301" t="s">
        <v>470</v>
      </c>
      <c r="FUB335" s="301" t="s">
        <v>470</v>
      </c>
      <c r="FUC335" s="301" t="s">
        <v>470</v>
      </c>
      <c r="FUD335" s="301" t="s">
        <v>470</v>
      </c>
      <c r="FUE335" s="301" t="s">
        <v>470</v>
      </c>
      <c r="FUF335" s="301" t="s">
        <v>470</v>
      </c>
      <c r="FUG335" s="301" t="s">
        <v>470</v>
      </c>
      <c r="FUH335" s="301" t="s">
        <v>470</v>
      </c>
      <c r="FUI335" s="301" t="s">
        <v>470</v>
      </c>
      <c r="FUJ335" s="301" t="s">
        <v>470</v>
      </c>
      <c r="FUK335" s="301" t="s">
        <v>470</v>
      </c>
      <c r="FUL335" s="301" t="s">
        <v>470</v>
      </c>
      <c r="FUM335" s="301" t="s">
        <v>470</v>
      </c>
      <c r="FUN335" s="301" t="s">
        <v>470</v>
      </c>
      <c r="FUO335" s="301" t="s">
        <v>470</v>
      </c>
      <c r="FUP335" s="301" t="s">
        <v>470</v>
      </c>
      <c r="FUQ335" s="301" t="s">
        <v>470</v>
      </c>
      <c r="FUR335" s="301" t="s">
        <v>470</v>
      </c>
      <c r="FUS335" s="301" t="s">
        <v>470</v>
      </c>
      <c r="FUT335" s="301" t="s">
        <v>470</v>
      </c>
      <c r="FUU335" s="301" t="s">
        <v>470</v>
      </c>
      <c r="FUV335" s="301" t="s">
        <v>470</v>
      </c>
      <c r="FUW335" s="301" t="s">
        <v>470</v>
      </c>
      <c r="FUX335" s="301" t="s">
        <v>470</v>
      </c>
      <c r="FUY335" s="301" t="s">
        <v>470</v>
      </c>
      <c r="FUZ335" s="301" t="s">
        <v>470</v>
      </c>
      <c r="FVA335" s="301" t="s">
        <v>470</v>
      </c>
      <c r="FVB335" s="301" t="s">
        <v>470</v>
      </c>
      <c r="FVC335" s="301" t="s">
        <v>470</v>
      </c>
      <c r="FVD335" s="301" t="s">
        <v>470</v>
      </c>
      <c r="FVE335" s="301" t="s">
        <v>470</v>
      </c>
      <c r="FVF335" s="301" t="s">
        <v>470</v>
      </c>
      <c r="FVG335" s="301" t="s">
        <v>470</v>
      </c>
      <c r="FVH335" s="301" t="s">
        <v>470</v>
      </c>
      <c r="FVI335" s="301" t="s">
        <v>470</v>
      </c>
      <c r="FVJ335" s="301" t="s">
        <v>470</v>
      </c>
      <c r="FVK335" s="301" t="s">
        <v>470</v>
      </c>
      <c r="FVL335" s="301" t="s">
        <v>470</v>
      </c>
      <c r="FVM335" s="301" t="s">
        <v>470</v>
      </c>
      <c r="FVN335" s="301" t="s">
        <v>470</v>
      </c>
      <c r="FVO335" s="301" t="s">
        <v>470</v>
      </c>
      <c r="FVP335" s="301" t="s">
        <v>470</v>
      </c>
      <c r="FVQ335" s="301" t="s">
        <v>470</v>
      </c>
      <c r="FVR335" s="301" t="s">
        <v>470</v>
      </c>
      <c r="FVS335" s="301" t="s">
        <v>470</v>
      </c>
      <c r="FVT335" s="301" t="s">
        <v>470</v>
      </c>
      <c r="FVU335" s="301" t="s">
        <v>470</v>
      </c>
      <c r="FVV335" s="301" t="s">
        <v>470</v>
      </c>
      <c r="FVW335" s="301" t="s">
        <v>470</v>
      </c>
      <c r="FVX335" s="301" t="s">
        <v>470</v>
      </c>
      <c r="FVY335" s="301" t="s">
        <v>470</v>
      </c>
      <c r="FVZ335" s="301" t="s">
        <v>470</v>
      </c>
      <c r="FWA335" s="301" t="s">
        <v>470</v>
      </c>
      <c r="FWB335" s="301" t="s">
        <v>470</v>
      </c>
      <c r="FWC335" s="301" t="s">
        <v>470</v>
      </c>
      <c r="FWD335" s="301" t="s">
        <v>470</v>
      </c>
      <c r="FWE335" s="301" t="s">
        <v>470</v>
      </c>
      <c r="FWF335" s="301" t="s">
        <v>470</v>
      </c>
      <c r="FWG335" s="301" t="s">
        <v>470</v>
      </c>
      <c r="FWH335" s="301" t="s">
        <v>470</v>
      </c>
      <c r="FWI335" s="301" t="s">
        <v>470</v>
      </c>
      <c r="FWJ335" s="301" t="s">
        <v>470</v>
      </c>
      <c r="FWK335" s="301" t="s">
        <v>470</v>
      </c>
      <c r="FWL335" s="301" t="s">
        <v>470</v>
      </c>
      <c r="FWM335" s="301" t="s">
        <v>470</v>
      </c>
      <c r="FWN335" s="301" t="s">
        <v>470</v>
      </c>
      <c r="FWO335" s="301" t="s">
        <v>470</v>
      </c>
      <c r="FWP335" s="301" t="s">
        <v>470</v>
      </c>
      <c r="FWQ335" s="301" t="s">
        <v>470</v>
      </c>
      <c r="FWR335" s="301" t="s">
        <v>470</v>
      </c>
      <c r="FWS335" s="301" t="s">
        <v>470</v>
      </c>
      <c r="FWT335" s="301" t="s">
        <v>470</v>
      </c>
      <c r="FWU335" s="301" t="s">
        <v>470</v>
      </c>
      <c r="FWV335" s="301" t="s">
        <v>470</v>
      </c>
      <c r="FWW335" s="301" t="s">
        <v>470</v>
      </c>
      <c r="FWX335" s="301" t="s">
        <v>470</v>
      </c>
      <c r="FWY335" s="301" t="s">
        <v>470</v>
      </c>
      <c r="FWZ335" s="301" t="s">
        <v>470</v>
      </c>
      <c r="FXA335" s="301" t="s">
        <v>470</v>
      </c>
      <c r="FXB335" s="301" t="s">
        <v>470</v>
      </c>
      <c r="FXC335" s="301" t="s">
        <v>470</v>
      </c>
      <c r="FXD335" s="301" t="s">
        <v>470</v>
      </c>
      <c r="FXE335" s="301" t="s">
        <v>470</v>
      </c>
      <c r="FXF335" s="301" t="s">
        <v>470</v>
      </c>
      <c r="FXG335" s="301" t="s">
        <v>470</v>
      </c>
      <c r="FXH335" s="301" t="s">
        <v>470</v>
      </c>
      <c r="FXI335" s="301" t="s">
        <v>470</v>
      </c>
      <c r="FXJ335" s="301" t="s">
        <v>470</v>
      </c>
      <c r="FXK335" s="301" t="s">
        <v>470</v>
      </c>
      <c r="FXL335" s="301" t="s">
        <v>470</v>
      </c>
      <c r="FXM335" s="301" t="s">
        <v>470</v>
      </c>
      <c r="FXN335" s="301" t="s">
        <v>470</v>
      </c>
      <c r="FXO335" s="301" t="s">
        <v>470</v>
      </c>
      <c r="FXP335" s="301" t="s">
        <v>470</v>
      </c>
      <c r="FXQ335" s="301" t="s">
        <v>470</v>
      </c>
      <c r="FXR335" s="301" t="s">
        <v>470</v>
      </c>
      <c r="FXS335" s="301" t="s">
        <v>470</v>
      </c>
      <c r="FXT335" s="301" t="s">
        <v>470</v>
      </c>
      <c r="FXU335" s="301" t="s">
        <v>470</v>
      </c>
      <c r="FXV335" s="301" t="s">
        <v>470</v>
      </c>
      <c r="FXW335" s="301" t="s">
        <v>470</v>
      </c>
      <c r="FXX335" s="301" t="s">
        <v>470</v>
      </c>
      <c r="FXY335" s="301" t="s">
        <v>470</v>
      </c>
      <c r="FXZ335" s="301" t="s">
        <v>470</v>
      </c>
      <c r="FYA335" s="301" t="s">
        <v>470</v>
      </c>
      <c r="FYB335" s="301" t="s">
        <v>470</v>
      </c>
      <c r="FYC335" s="301" t="s">
        <v>470</v>
      </c>
      <c r="FYD335" s="301" t="s">
        <v>470</v>
      </c>
      <c r="FYE335" s="301" t="s">
        <v>470</v>
      </c>
      <c r="FYF335" s="301" t="s">
        <v>470</v>
      </c>
      <c r="FYG335" s="301" t="s">
        <v>470</v>
      </c>
      <c r="FYH335" s="301" t="s">
        <v>470</v>
      </c>
      <c r="FYI335" s="301" t="s">
        <v>470</v>
      </c>
      <c r="FYJ335" s="301" t="s">
        <v>470</v>
      </c>
      <c r="FYK335" s="301" t="s">
        <v>470</v>
      </c>
      <c r="FYL335" s="301" t="s">
        <v>470</v>
      </c>
      <c r="FYM335" s="301" t="s">
        <v>470</v>
      </c>
      <c r="FYN335" s="301" t="s">
        <v>470</v>
      </c>
      <c r="FYO335" s="301" t="s">
        <v>470</v>
      </c>
      <c r="FYP335" s="301" t="s">
        <v>470</v>
      </c>
      <c r="FYQ335" s="301" t="s">
        <v>470</v>
      </c>
      <c r="FYR335" s="301" t="s">
        <v>470</v>
      </c>
      <c r="FYS335" s="301" t="s">
        <v>470</v>
      </c>
      <c r="FYT335" s="301" t="s">
        <v>470</v>
      </c>
      <c r="FYU335" s="301" t="s">
        <v>470</v>
      </c>
      <c r="FYV335" s="301" t="s">
        <v>470</v>
      </c>
      <c r="FYW335" s="301" t="s">
        <v>470</v>
      </c>
      <c r="FYX335" s="301" t="s">
        <v>470</v>
      </c>
      <c r="FYY335" s="301" t="s">
        <v>470</v>
      </c>
      <c r="FYZ335" s="301" t="s">
        <v>470</v>
      </c>
      <c r="FZA335" s="301" t="s">
        <v>470</v>
      </c>
      <c r="FZB335" s="301" t="s">
        <v>470</v>
      </c>
      <c r="FZC335" s="301" t="s">
        <v>470</v>
      </c>
      <c r="FZD335" s="301" t="s">
        <v>470</v>
      </c>
      <c r="FZE335" s="301" t="s">
        <v>470</v>
      </c>
      <c r="FZF335" s="301" t="s">
        <v>470</v>
      </c>
      <c r="FZG335" s="301" t="s">
        <v>470</v>
      </c>
      <c r="FZH335" s="301" t="s">
        <v>470</v>
      </c>
      <c r="FZI335" s="301" t="s">
        <v>470</v>
      </c>
      <c r="FZJ335" s="301" t="s">
        <v>470</v>
      </c>
      <c r="FZK335" s="301" t="s">
        <v>470</v>
      </c>
      <c r="FZL335" s="301" t="s">
        <v>470</v>
      </c>
      <c r="FZM335" s="301" t="s">
        <v>470</v>
      </c>
      <c r="FZN335" s="301" t="s">
        <v>470</v>
      </c>
      <c r="FZO335" s="301" t="s">
        <v>470</v>
      </c>
      <c r="FZP335" s="301" t="s">
        <v>470</v>
      </c>
      <c r="FZQ335" s="301" t="s">
        <v>470</v>
      </c>
      <c r="FZR335" s="301" t="s">
        <v>470</v>
      </c>
      <c r="FZS335" s="301" t="s">
        <v>470</v>
      </c>
      <c r="FZT335" s="301" t="s">
        <v>470</v>
      </c>
      <c r="FZU335" s="301" t="s">
        <v>470</v>
      </c>
      <c r="FZV335" s="301" t="s">
        <v>470</v>
      </c>
      <c r="FZW335" s="301" t="s">
        <v>470</v>
      </c>
      <c r="FZX335" s="301" t="s">
        <v>470</v>
      </c>
      <c r="FZY335" s="301" t="s">
        <v>470</v>
      </c>
      <c r="FZZ335" s="301" t="s">
        <v>470</v>
      </c>
      <c r="GAA335" s="301" t="s">
        <v>470</v>
      </c>
      <c r="GAB335" s="301" t="s">
        <v>470</v>
      </c>
      <c r="GAC335" s="301" t="s">
        <v>470</v>
      </c>
      <c r="GAD335" s="301" t="s">
        <v>470</v>
      </c>
      <c r="GAE335" s="301" t="s">
        <v>470</v>
      </c>
      <c r="GAF335" s="301" t="s">
        <v>470</v>
      </c>
      <c r="GAG335" s="301" t="s">
        <v>470</v>
      </c>
      <c r="GAH335" s="301" t="s">
        <v>470</v>
      </c>
      <c r="GAI335" s="301" t="s">
        <v>470</v>
      </c>
      <c r="GAJ335" s="301" t="s">
        <v>470</v>
      </c>
      <c r="GAK335" s="301" t="s">
        <v>470</v>
      </c>
      <c r="GAL335" s="301" t="s">
        <v>470</v>
      </c>
      <c r="GAM335" s="301" t="s">
        <v>470</v>
      </c>
      <c r="GAN335" s="301" t="s">
        <v>470</v>
      </c>
      <c r="GAO335" s="301" t="s">
        <v>470</v>
      </c>
      <c r="GAP335" s="301" t="s">
        <v>470</v>
      </c>
      <c r="GAQ335" s="301" t="s">
        <v>470</v>
      </c>
      <c r="GAR335" s="301" t="s">
        <v>470</v>
      </c>
      <c r="GAS335" s="301" t="s">
        <v>470</v>
      </c>
      <c r="GAT335" s="301" t="s">
        <v>470</v>
      </c>
      <c r="GAU335" s="301" t="s">
        <v>470</v>
      </c>
      <c r="GAV335" s="301" t="s">
        <v>470</v>
      </c>
      <c r="GAW335" s="301" t="s">
        <v>470</v>
      </c>
      <c r="GAX335" s="301" t="s">
        <v>470</v>
      </c>
      <c r="GAY335" s="301" t="s">
        <v>470</v>
      </c>
      <c r="GAZ335" s="301" t="s">
        <v>470</v>
      </c>
      <c r="GBA335" s="301" t="s">
        <v>470</v>
      </c>
      <c r="GBB335" s="301" t="s">
        <v>470</v>
      </c>
      <c r="GBC335" s="301" t="s">
        <v>470</v>
      </c>
      <c r="GBD335" s="301" t="s">
        <v>470</v>
      </c>
      <c r="GBE335" s="301" t="s">
        <v>470</v>
      </c>
      <c r="GBF335" s="301" t="s">
        <v>470</v>
      </c>
      <c r="GBG335" s="301" t="s">
        <v>470</v>
      </c>
      <c r="GBH335" s="301" t="s">
        <v>470</v>
      </c>
      <c r="GBI335" s="301" t="s">
        <v>470</v>
      </c>
      <c r="GBJ335" s="301" t="s">
        <v>470</v>
      </c>
      <c r="GBK335" s="301" t="s">
        <v>470</v>
      </c>
      <c r="GBL335" s="301" t="s">
        <v>470</v>
      </c>
      <c r="GBM335" s="301" t="s">
        <v>470</v>
      </c>
      <c r="GBN335" s="301" t="s">
        <v>470</v>
      </c>
      <c r="GBO335" s="301" t="s">
        <v>470</v>
      </c>
      <c r="GBP335" s="301" t="s">
        <v>470</v>
      </c>
      <c r="GBQ335" s="301" t="s">
        <v>470</v>
      </c>
      <c r="GBR335" s="301" t="s">
        <v>470</v>
      </c>
      <c r="GBS335" s="301" t="s">
        <v>470</v>
      </c>
      <c r="GBT335" s="301" t="s">
        <v>470</v>
      </c>
      <c r="GBU335" s="301" t="s">
        <v>470</v>
      </c>
      <c r="GBV335" s="301" t="s">
        <v>470</v>
      </c>
      <c r="GBW335" s="301" t="s">
        <v>470</v>
      </c>
      <c r="GBX335" s="301" t="s">
        <v>470</v>
      </c>
      <c r="GBY335" s="301" t="s">
        <v>470</v>
      </c>
      <c r="GBZ335" s="301" t="s">
        <v>470</v>
      </c>
      <c r="GCA335" s="301" t="s">
        <v>470</v>
      </c>
      <c r="GCB335" s="301" t="s">
        <v>470</v>
      </c>
      <c r="GCC335" s="301" t="s">
        <v>470</v>
      </c>
      <c r="GCD335" s="301" t="s">
        <v>470</v>
      </c>
      <c r="GCE335" s="301" t="s">
        <v>470</v>
      </c>
      <c r="GCF335" s="301" t="s">
        <v>470</v>
      </c>
      <c r="GCG335" s="301" t="s">
        <v>470</v>
      </c>
      <c r="GCH335" s="301" t="s">
        <v>470</v>
      </c>
      <c r="GCI335" s="301" t="s">
        <v>470</v>
      </c>
      <c r="GCJ335" s="301" t="s">
        <v>470</v>
      </c>
      <c r="GCK335" s="301" t="s">
        <v>470</v>
      </c>
      <c r="GCL335" s="301" t="s">
        <v>470</v>
      </c>
      <c r="GCM335" s="301" t="s">
        <v>470</v>
      </c>
      <c r="GCN335" s="301" t="s">
        <v>470</v>
      </c>
      <c r="GCO335" s="301" t="s">
        <v>470</v>
      </c>
      <c r="GCP335" s="301" t="s">
        <v>470</v>
      </c>
      <c r="GCQ335" s="301" t="s">
        <v>470</v>
      </c>
      <c r="GCR335" s="301" t="s">
        <v>470</v>
      </c>
      <c r="GCS335" s="301" t="s">
        <v>470</v>
      </c>
      <c r="GCT335" s="301" t="s">
        <v>470</v>
      </c>
      <c r="GCU335" s="301" t="s">
        <v>470</v>
      </c>
      <c r="GCV335" s="301" t="s">
        <v>470</v>
      </c>
      <c r="GCW335" s="301" t="s">
        <v>470</v>
      </c>
      <c r="GCX335" s="301" t="s">
        <v>470</v>
      </c>
      <c r="GCY335" s="301" t="s">
        <v>470</v>
      </c>
      <c r="GCZ335" s="301" t="s">
        <v>470</v>
      </c>
      <c r="GDA335" s="301" t="s">
        <v>470</v>
      </c>
      <c r="GDB335" s="301" t="s">
        <v>470</v>
      </c>
      <c r="GDC335" s="301" t="s">
        <v>470</v>
      </c>
      <c r="GDD335" s="301" t="s">
        <v>470</v>
      </c>
      <c r="GDE335" s="301" t="s">
        <v>470</v>
      </c>
      <c r="GDF335" s="301" t="s">
        <v>470</v>
      </c>
      <c r="GDG335" s="301" t="s">
        <v>470</v>
      </c>
      <c r="GDH335" s="301" t="s">
        <v>470</v>
      </c>
      <c r="GDI335" s="301" t="s">
        <v>470</v>
      </c>
      <c r="GDJ335" s="301" t="s">
        <v>470</v>
      </c>
      <c r="GDK335" s="301" t="s">
        <v>470</v>
      </c>
      <c r="GDL335" s="301" t="s">
        <v>470</v>
      </c>
      <c r="GDM335" s="301" t="s">
        <v>470</v>
      </c>
      <c r="GDN335" s="301" t="s">
        <v>470</v>
      </c>
      <c r="GDO335" s="301" t="s">
        <v>470</v>
      </c>
      <c r="GDP335" s="301" t="s">
        <v>470</v>
      </c>
      <c r="GDQ335" s="301" t="s">
        <v>470</v>
      </c>
      <c r="GDR335" s="301" t="s">
        <v>470</v>
      </c>
      <c r="GDS335" s="301" t="s">
        <v>470</v>
      </c>
      <c r="GDT335" s="301" t="s">
        <v>470</v>
      </c>
      <c r="GDU335" s="301" t="s">
        <v>470</v>
      </c>
      <c r="GDV335" s="301" t="s">
        <v>470</v>
      </c>
      <c r="GDW335" s="301" t="s">
        <v>470</v>
      </c>
      <c r="GDX335" s="301" t="s">
        <v>470</v>
      </c>
      <c r="GDY335" s="301" t="s">
        <v>470</v>
      </c>
      <c r="GDZ335" s="301" t="s">
        <v>470</v>
      </c>
      <c r="GEA335" s="301" t="s">
        <v>470</v>
      </c>
      <c r="GEB335" s="301" t="s">
        <v>470</v>
      </c>
      <c r="GEC335" s="301" t="s">
        <v>470</v>
      </c>
      <c r="GED335" s="301" t="s">
        <v>470</v>
      </c>
      <c r="GEE335" s="301" t="s">
        <v>470</v>
      </c>
      <c r="GEF335" s="301" t="s">
        <v>470</v>
      </c>
      <c r="GEG335" s="301" t="s">
        <v>470</v>
      </c>
      <c r="GEH335" s="301" t="s">
        <v>470</v>
      </c>
      <c r="GEI335" s="301" t="s">
        <v>470</v>
      </c>
      <c r="GEJ335" s="301" t="s">
        <v>470</v>
      </c>
      <c r="GEK335" s="301" t="s">
        <v>470</v>
      </c>
      <c r="GEL335" s="301" t="s">
        <v>470</v>
      </c>
      <c r="GEM335" s="301" t="s">
        <v>470</v>
      </c>
      <c r="GEN335" s="301" t="s">
        <v>470</v>
      </c>
      <c r="GEO335" s="301" t="s">
        <v>470</v>
      </c>
      <c r="GEP335" s="301" t="s">
        <v>470</v>
      </c>
      <c r="GEQ335" s="301" t="s">
        <v>470</v>
      </c>
      <c r="GER335" s="301" t="s">
        <v>470</v>
      </c>
      <c r="GES335" s="301" t="s">
        <v>470</v>
      </c>
      <c r="GET335" s="301" t="s">
        <v>470</v>
      </c>
      <c r="GEU335" s="301" t="s">
        <v>470</v>
      </c>
      <c r="GEV335" s="301" t="s">
        <v>470</v>
      </c>
      <c r="GEW335" s="301" t="s">
        <v>470</v>
      </c>
      <c r="GEX335" s="301" t="s">
        <v>470</v>
      </c>
      <c r="GEY335" s="301" t="s">
        <v>470</v>
      </c>
      <c r="GEZ335" s="301" t="s">
        <v>470</v>
      </c>
      <c r="GFA335" s="301" t="s">
        <v>470</v>
      </c>
      <c r="GFB335" s="301" t="s">
        <v>470</v>
      </c>
      <c r="GFC335" s="301" t="s">
        <v>470</v>
      </c>
      <c r="GFD335" s="301" t="s">
        <v>470</v>
      </c>
      <c r="GFE335" s="301" t="s">
        <v>470</v>
      </c>
      <c r="GFF335" s="301" t="s">
        <v>470</v>
      </c>
      <c r="GFG335" s="301" t="s">
        <v>470</v>
      </c>
      <c r="GFH335" s="301" t="s">
        <v>470</v>
      </c>
      <c r="GFI335" s="301" t="s">
        <v>470</v>
      </c>
      <c r="GFJ335" s="301" t="s">
        <v>470</v>
      </c>
      <c r="GFK335" s="301" t="s">
        <v>470</v>
      </c>
      <c r="GFL335" s="301" t="s">
        <v>470</v>
      </c>
      <c r="GFM335" s="301" t="s">
        <v>470</v>
      </c>
      <c r="GFN335" s="301" t="s">
        <v>470</v>
      </c>
      <c r="GFO335" s="301" t="s">
        <v>470</v>
      </c>
      <c r="GFP335" s="301" t="s">
        <v>470</v>
      </c>
      <c r="GFQ335" s="301" t="s">
        <v>470</v>
      </c>
      <c r="GFR335" s="301" t="s">
        <v>470</v>
      </c>
      <c r="GFS335" s="301" t="s">
        <v>470</v>
      </c>
      <c r="GFT335" s="301" t="s">
        <v>470</v>
      </c>
      <c r="GFU335" s="301" t="s">
        <v>470</v>
      </c>
      <c r="GFV335" s="301" t="s">
        <v>470</v>
      </c>
      <c r="GFW335" s="301" t="s">
        <v>470</v>
      </c>
      <c r="GFX335" s="301" t="s">
        <v>470</v>
      </c>
      <c r="GFY335" s="301" t="s">
        <v>470</v>
      </c>
      <c r="GFZ335" s="301" t="s">
        <v>470</v>
      </c>
      <c r="GGA335" s="301" t="s">
        <v>470</v>
      </c>
      <c r="GGB335" s="301" t="s">
        <v>470</v>
      </c>
      <c r="GGC335" s="301" t="s">
        <v>470</v>
      </c>
      <c r="GGD335" s="301" t="s">
        <v>470</v>
      </c>
      <c r="GGE335" s="301" t="s">
        <v>470</v>
      </c>
      <c r="GGF335" s="301" t="s">
        <v>470</v>
      </c>
      <c r="GGG335" s="301" t="s">
        <v>470</v>
      </c>
      <c r="GGH335" s="301" t="s">
        <v>470</v>
      </c>
      <c r="GGI335" s="301" t="s">
        <v>470</v>
      </c>
      <c r="GGJ335" s="301" t="s">
        <v>470</v>
      </c>
      <c r="GGK335" s="301" t="s">
        <v>470</v>
      </c>
      <c r="GGL335" s="301" t="s">
        <v>470</v>
      </c>
      <c r="GGM335" s="301" t="s">
        <v>470</v>
      </c>
      <c r="GGN335" s="301" t="s">
        <v>470</v>
      </c>
      <c r="GGO335" s="301" t="s">
        <v>470</v>
      </c>
      <c r="GGP335" s="301" t="s">
        <v>470</v>
      </c>
      <c r="GGQ335" s="301" t="s">
        <v>470</v>
      </c>
      <c r="GGR335" s="301" t="s">
        <v>470</v>
      </c>
      <c r="GGS335" s="301" t="s">
        <v>470</v>
      </c>
      <c r="GGT335" s="301" t="s">
        <v>470</v>
      </c>
      <c r="GGU335" s="301" t="s">
        <v>470</v>
      </c>
      <c r="GGV335" s="301" t="s">
        <v>470</v>
      </c>
      <c r="GGW335" s="301" t="s">
        <v>470</v>
      </c>
      <c r="GGX335" s="301" t="s">
        <v>470</v>
      </c>
      <c r="GGY335" s="301" t="s">
        <v>470</v>
      </c>
      <c r="GGZ335" s="301" t="s">
        <v>470</v>
      </c>
      <c r="GHA335" s="301" t="s">
        <v>470</v>
      </c>
      <c r="GHB335" s="301" t="s">
        <v>470</v>
      </c>
      <c r="GHC335" s="301" t="s">
        <v>470</v>
      </c>
      <c r="GHD335" s="301" t="s">
        <v>470</v>
      </c>
      <c r="GHE335" s="301" t="s">
        <v>470</v>
      </c>
      <c r="GHF335" s="301" t="s">
        <v>470</v>
      </c>
      <c r="GHG335" s="301" t="s">
        <v>470</v>
      </c>
      <c r="GHH335" s="301" t="s">
        <v>470</v>
      </c>
      <c r="GHI335" s="301" t="s">
        <v>470</v>
      </c>
      <c r="GHJ335" s="301" t="s">
        <v>470</v>
      </c>
      <c r="GHK335" s="301" t="s">
        <v>470</v>
      </c>
      <c r="GHL335" s="301" t="s">
        <v>470</v>
      </c>
      <c r="GHM335" s="301" t="s">
        <v>470</v>
      </c>
      <c r="GHN335" s="301" t="s">
        <v>470</v>
      </c>
      <c r="GHO335" s="301" t="s">
        <v>470</v>
      </c>
      <c r="GHP335" s="301" t="s">
        <v>470</v>
      </c>
      <c r="GHQ335" s="301" t="s">
        <v>470</v>
      </c>
      <c r="GHR335" s="301" t="s">
        <v>470</v>
      </c>
      <c r="GHS335" s="301" t="s">
        <v>470</v>
      </c>
      <c r="GHT335" s="301" t="s">
        <v>470</v>
      </c>
      <c r="GHU335" s="301" t="s">
        <v>470</v>
      </c>
      <c r="GHV335" s="301" t="s">
        <v>470</v>
      </c>
      <c r="GHW335" s="301" t="s">
        <v>470</v>
      </c>
      <c r="GHX335" s="301" t="s">
        <v>470</v>
      </c>
      <c r="GHY335" s="301" t="s">
        <v>470</v>
      </c>
      <c r="GHZ335" s="301" t="s">
        <v>470</v>
      </c>
      <c r="GIA335" s="301" t="s">
        <v>470</v>
      </c>
      <c r="GIB335" s="301" t="s">
        <v>470</v>
      </c>
      <c r="GIC335" s="301" t="s">
        <v>470</v>
      </c>
      <c r="GID335" s="301" t="s">
        <v>470</v>
      </c>
      <c r="GIE335" s="301" t="s">
        <v>470</v>
      </c>
      <c r="GIF335" s="301" t="s">
        <v>470</v>
      </c>
      <c r="GIG335" s="301" t="s">
        <v>470</v>
      </c>
      <c r="GIH335" s="301" t="s">
        <v>470</v>
      </c>
      <c r="GII335" s="301" t="s">
        <v>470</v>
      </c>
      <c r="GIJ335" s="301" t="s">
        <v>470</v>
      </c>
      <c r="GIK335" s="301" t="s">
        <v>470</v>
      </c>
      <c r="GIL335" s="301" t="s">
        <v>470</v>
      </c>
      <c r="GIM335" s="301" t="s">
        <v>470</v>
      </c>
      <c r="GIN335" s="301" t="s">
        <v>470</v>
      </c>
      <c r="GIO335" s="301" t="s">
        <v>470</v>
      </c>
      <c r="GIP335" s="301" t="s">
        <v>470</v>
      </c>
      <c r="GIQ335" s="301" t="s">
        <v>470</v>
      </c>
      <c r="GIR335" s="301" t="s">
        <v>470</v>
      </c>
      <c r="GIS335" s="301" t="s">
        <v>470</v>
      </c>
      <c r="GIT335" s="301" t="s">
        <v>470</v>
      </c>
      <c r="GIU335" s="301" t="s">
        <v>470</v>
      </c>
      <c r="GIV335" s="301" t="s">
        <v>470</v>
      </c>
      <c r="GIW335" s="301" t="s">
        <v>470</v>
      </c>
      <c r="GIX335" s="301" t="s">
        <v>470</v>
      </c>
      <c r="GIY335" s="301" t="s">
        <v>470</v>
      </c>
      <c r="GIZ335" s="301" t="s">
        <v>470</v>
      </c>
      <c r="GJA335" s="301" t="s">
        <v>470</v>
      </c>
      <c r="GJB335" s="301" t="s">
        <v>470</v>
      </c>
      <c r="GJC335" s="301" t="s">
        <v>470</v>
      </c>
      <c r="GJD335" s="301" t="s">
        <v>470</v>
      </c>
      <c r="GJE335" s="301" t="s">
        <v>470</v>
      </c>
      <c r="GJF335" s="301" t="s">
        <v>470</v>
      </c>
      <c r="GJG335" s="301" t="s">
        <v>470</v>
      </c>
      <c r="GJH335" s="301" t="s">
        <v>470</v>
      </c>
      <c r="GJI335" s="301" t="s">
        <v>470</v>
      </c>
      <c r="GJJ335" s="301" t="s">
        <v>470</v>
      </c>
      <c r="GJK335" s="301" t="s">
        <v>470</v>
      </c>
      <c r="GJL335" s="301" t="s">
        <v>470</v>
      </c>
      <c r="GJM335" s="301" t="s">
        <v>470</v>
      </c>
      <c r="GJN335" s="301" t="s">
        <v>470</v>
      </c>
      <c r="GJO335" s="301" t="s">
        <v>470</v>
      </c>
      <c r="GJP335" s="301" t="s">
        <v>470</v>
      </c>
      <c r="GJQ335" s="301" t="s">
        <v>470</v>
      </c>
      <c r="GJR335" s="301" t="s">
        <v>470</v>
      </c>
      <c r="GJS335" s="301" t="s">
        <v>470</v>
      </c>
      <c r="GJT335" s="301" t="s">
        <v>470</v>
      </c>
      <c r="GJU335" s="301" t="s">
        <v>470</v>
      </c>
      <c r="GJV335" s="301" t="s">
        <v>470</v>
      </c>
      <c r="GJW335" s="301" t="s">
        <v>470</v>
      </c>
      <c r="GJX335" s="301" t="s">
        <v>470</v>
      </c>
      <c r="GJY335" s="301" t="s">
        <v>470</v>
      </c>
      <c r="GJZ335" s="301" t="s">
        <v>470</v>
      </c>
      <c r="GKA335" s="301" t="s">
        <v>470</v>
      </c>
      <c r="GKB335" s="301" t="s">
        <v>470</v>
      </c>
      <c r="GKC335" s="301" t="s">
        <v>470</v>
      </c>
      <c r="GKD335" s="301" t="s">
        <v>470</v>
      </c>
      <c r="GKE335" s="301" t="s">
        <v>470</v>
      </c>
      <c r="GKF335" s="301" t="s">
        <v>470</v>
      </c>
      <c r="GKG335" s="301" t="s">
        <v>470</v>
      </c>
      <c r="GKH335" s="301" t="s">
        <v>470</v>
      </c>
      <c r="GKI335" s="301" t="s">
        <v>470</v>
      </c>
      <c r="GKJ335" s="301" t="s">
        <v>470</v>
      </c>
      <c r="GKK335" s="301" t="s">
        <v>470</v>
      </c>
      <c r="GKL335" s="301" t="s">
        <v>470</v>
      </c>
      <c r="GKM335" s="301" t="s">
        <v>470</v>
      </c>
      <c r="GKN335" s="301" t="s">
        <v>470</v>
      </c>
      <c r="GKO335" s="301" t="s">
        <v>470</v>
      </c>
      <c r="GKP335" s="301" t="s">
        <v>470</v>
      </c>
      <c r="GKQ335" s="301" t="s">
        <v>470</v>
      </c>
      <c r="GKR335" s="301" t="s">
        <v>470</v>
      </c>
      <c r="GKS335" s="301" t="s">
        <v>470</v>
      </c>
      <c r="GKT335" s="301" t="s">
        <v>470</v>
      </c>
      <c r="GKU335" s="301" t="s">
        <v>470</v>
      </c>
      <c r="GKV335" s="301" t="s">
        <v>470</v>
      </c>
      <c r="GKW335" s="301" t="s">
        <v>470</v>
      </c>
      <c r="GKX335" s="301" t="s">
        <v>470</v>
      </c>
      <c r="GKY335" s="301" t="s">
        <v>470</v>
      </c>
      <c r="GKZ335" s="301" t="s">
        <v>470</v>
      </c>
      <c r="GLA335" s="301" t="s">
        <v>470</v>
      </c>
      <c r="GLB335" s="301" t="s">
        <v>470</v>
      </c>
      <c r="GLC335" s="301" t="s">
        <v>470</v>
      </c>
      <c r="GLD335" s="301" t="s">
        <v>470</v>
      </c>
      <c r="GLE335" s="301" t="s">
        <v>470</v>
      </c>
      <c r="GLF335" s="301" t="s">
        <v>470</v>
      </c>
      <c r="GLG335" s="301" t="s">
        <v>470</v>
      </c>
      <c r="GLH335" s="301" t="s">
        <v>470</v>
      </c>
      <c r="GLI335" s="301" t="s">
        <v>470</v>
      </c>
      <c r="GLJ335" s="301" t="s">
        <v>470</v>
      </c>
      <c r="GLK335" s="301" t="s">
        <v>470</v>
      </c>
      <c r="GLL335" s="301" t="s">
        <v>470</v>
      </c>
      <c r="GLM335" s="301" t="s">
        <v>470</v>
      </c>
      <c r="GLN335" s="301" t="s">
        <v>470</v>
      </c>
      <c r="GLO335" s="301" t="s">
        <v>470</v>
      </c>
      <c r="GLP335" s="301" t="s">
        <v>470</v>
      </c>
      <c r="GLQ335" s="301" t="s">
        <v>470</v>
      </c>
      <c r="GLR335" s="301" t="s">
        <v>470</v>
      </c>
      <c r="GLS335" s="301" t="s">
        <v>470</v>
      </c>
      <c r="GLT335" s="301" t="s">
        <v>470</v>
      </c>
      <c r="GLU335" s="301" t="s">
        <v>470</v>
      </c>
      <c r="GLV335" s="301" t="s">
        <v>470</v>
      </c>
      <c r="GLW335" s="301" t="s">
        <v>470</v>
      </c>
      <c r="GLX335" s="301" t="s">
        <v>470</v>
      </c>
      <c r="GLY335" s="301" t="s">
        <v>470</v>
      </c>
      <c r="GLZ335" s="301" t="s">
        <v>470</v>
      </c>
      <c r="GMA335" s="301" t="s">
        <v>470</v>
      </c>
      <c r="GMB335" s="301" t="s">
        <v>470</v>
      </c>
      <c r="GMC335" s="301" t="s">
        <v>470</v>
      </c>
      <c r="GMD335" s="301" t="s">
        <v>470</v>
      </c>
      <c r="GME335" s="301" t="s">
        <v>470</v>
      </c>
      <c r="GMF335" s="301" t="s">
        <v>470</v>
      </c>
      <c r="GMG335" s="301" t="s">
        <v>470</v>
      </c>
      <c r="GMH335" s="301" t="s">
        <v>470</v>
      </c>
      <c r="GMI335" s="301" t="s">
        <v>470</v>
      </c>
      <c r="GMJ335" s="301" t="s">
        <v>470</v>
      </c>
      <c r="GMK335" s="301" t="s">
        <v>470</v>
      </c>
      <c r="GML335" s="301" t="s">
        <v>470</v>
      </c>
      <c r="GMM335" s="301" t="s">
        <v>470</v>
      </c>
      <c r="GMN335" s="301" t="s">
        <v>470</v>
      </c>
      <c r="GMO335" s="301" t="s">
        <v>470</v>
      </c>
      <c r="GMP335" s="301" t="s">
        <v>470</v>
      </c>
      <c r="GMQ335" s="301" t="s">
        <v>470</v>
      </c>
      <c r="GMR335" s="301" t="s">
        <v>470</v>
      </c>
      <c r="GMS335" s="301" t="s">
        <v>470</v>
      </c>
      <c r="GMT335" s="301" t="s">
        <v>470</v>
      </c>
      <c r="GMU335" s="301" t="s">
        <v>470</v>
      </c>
      <c r="GMV335" s="301" t="s">
        <v>470</v>
      </c>
      <c r="GMW335" s="301" t="s">
        <v>470</v>
      </c>
      <c r="GMX335" s="301" t="s">
        <v>470</v>
      </c>
      <c r="GMY335" s="301" t="s">
        <v>470</v>
      </c>
      <c r="GMZ335" s="301" t="s">
        <v>470</v>
      </c>
      <c r="GNA335" s="301" t="s">
        <v>470</v>
      </c>
      <c r="GNB335" s="301" t="s">
        <v>470</v>
      </c>
      <c r="GNC335" s="301" t="s">
        <v>470</v>
      </c>
      <c r="GND335" s="301" t="s">
        <v>470</v>
      </c>
      <c r="GNE335" s="301" t="s">
        <v>470</v>
      </c>
      <c r="GNF335" s="301" t="s">
        <v>470</v>
      </c>
      <c r="GNG335" s="301" t="s">
        <v>470</v>
      </c>
      <c r="GNH335" s="301" t="s">
        <v>470</v>
      </c>
      <c r="GNI335" s="301" t="s">
        <v>470</v>
      </c>
      <c r="GNJ335" s="301" t="s">
        <v>470</v>
      </c>
      <c r="GNK335" s="301" t="s">
        <v>470</v>
      </c>
      <c r="GNL335" s="301" t="s">
        <v>470</v>
      </c>
      <c r="GNM335" s="301" t="s">
        <v>470</v>
      </c>
      <c r="GNN335" s="301" t="s">
        <v>470</v>
      </c>
      <c r="GNO335" s="301" t="s">
        <v>470</v>
      </c>
      <c r="GNP335" s="301" t="s">
        <v>470</v>
      </c>
      <c r="GNQ335" s="301" t="s">
        <v>470</v>
      </c>
      <c r="GNR335" s="301" t="s">
        <v>470</v>
      </c>
      <c r="GNS335" s="301" t="s">
        <v>470</v>
      </c>
      <c r="GNT335" s="301" t="s">
        <v>470</v>
      </c>
      <c r="GNU335" s="301" t="s">
        <v>470</v>
      </c>
      <c r="GNV335" s="301" t="s">
        <v>470</v>
      </c>
      <c r="GNW335" s="301" t="s">
        <v>470</v>
      </c>
      <c r="GNX335" s="301" t="s">
        <v>470</v>
      </c>
      <c r="GNY335" s="301" t="s">
        <v>470</v>
      </c>
      <c r="GNZ335" s="301" t="s">
        <v>470</v>
      </c>
      <c r="GOA335" s="301" t="s">
        <v>470</v>
      </c>
      <c r="GOB335" s="301" t="s">
        <v>470</v>
      </c>
      <c r="GOC335" s="301" t="s">
        <v>470</v>
      </c>
      <c r="GOD335" s="301" t="s">
        <v>470</v>
      </c>
      <c r="GOE335" s="301" t="s">
        <v>470</v>
      </c>
      <c r="GOF335" s="301" t="s">
        <v>470</v>
      </c>
      <c r="GOG335" s="301" t="s">
        <v>470</v>
      </c>
      <c r="GOH335" s="301" t="s">
        <v>470</v>
      </c>
      <c r="GOI335" s="301" t="s">
        <v>470</v>
      </c>
      <c r="GOJ335" s="301" t="s">
        <v>470</v>
      </c>
      <c r="GOK335" s="301" t="s">
        <v>470</v>
      </c>
      <c r="GOL335" s="301" t="s">
        <v>470</v>
      </c>
      <c r="GOM335" s="301" t="s">
        <v>470</v>
      </c>
      <c r="GON335" s="301" t="s">
        <v>470</v>
      </c>
      <c r="GOO335" s="301" t="s">
        <v>470</v>
      </c>
      <c r="GOP335" s="301" t="s">
        <v>470</v>
      </c>
      <c r="GOQ335" s="301" t="s">
        <v>470</v>
      </c>
      <c r="GOR335" s="301" t="s">
        <v>470</v>
      </c>
      <c r="GOS335" s="301" t="s">
        <v>470</v>
      </c>
      <c r="GOT335" s="301" t="s">
        <v>470</v>
      </c>
      <c r="GOU335" s="301" t="s">
        <v>470</v>
      </c>
      <c r="GOV335" s="301" t="s">
        <v>470</v>
      </c>
      <c r="GOW335" s="301" t="s">
        <v>470</v>
      </c>
      <c r="GOX335" s="301" t="s">
        <v>470</v>
      </c>
      <c r="GOY335" s="301" t="s">
        <v>470</v>
      </c>
      <c r="GOZ335" s="301" t="s">
        <v>470</v>
      </c>
      <c r="GPA335" s="301" t="s">
        <v>470</v>
      </c>
      <c r="GPB335" s="301" t="s">
        <v>470</v>
      </c>
      <c r="GPC335" s="301" t="s">
        <v>470</v>
      </c>
      <c r="GPD335" s="301" t="s">
        <v>470</v>
      </c>
      <c r="GPE335" s="301" t="s">
        <v>470</v>
      </c>
      <c r="GPF335" s="301" t="s">
        <v>470</v>
      </c>
      <c r="GPG335" s="301" t="s">
        <v>470</v>
      </c>
      <c r="GPH335" s="301" t="s">
        <v>470</v>
      </c>
      <c r="GPI335" s="301" t="s">
        <v>470</v>
      </c>
      <c r="GPJ335" s="301" t="s">
        <v>470</v>
      </c>
      <c r="GPK335" s="301" t="s">
        <v>470</v>
      </c>
      <c r="GPL335" s="301" t="s">
        <v>470</v>
      </c>
      <c r="GPM335" s="301" t="s">
        <v>470</v>
      </c>
      <c r="GPN335" s="301" t="s">
        <v>470</v>
      </c>
      <c r="GPO335" s="301" t="s">
        <v>470</v>
      </c>
      <c r="GPP335" s="301" t="s">
        <v>470</v>
      </c>
      <c r="GPQ335" s="301" t="s">
        <v>470</v>
      </c>
      <c r="GPR335" s="301" t="s">
        <v>470</v>
      </c>
      <c r="GPS335" s="301" t="s">
        <v>470</v>
      </c>
      <c r="GPT335" s="301" t="s">
        <v>470</v>
      </c>
      <c r="GPU335" s="301" t="s">
        <v>470</v>
      </c>
      <c r="GPV335" s="301" t="s">
        <v>470</v>
      </c>
      <c r="GPW335" s="301" t="s">
        <v>470</v>
      </c>
      <c r="GPX335" s="301" t="s">
        <v>470</v>
      </c>
      <c r="GPY335" s="301" t="s">
        <v>470</v>
      </c>
      <c r="GPZ335" s="301" t="s">
        <v>470</v>
      </c>
      <c r="GQA335" s="301" t="s">
        <v>470</v>
      </c>
      <c r="GQB335" s="301" t="s">
        <v>470</v>
      </c>
      <c r="GQC335" s="301" t="s">
        <v>470</v>
      </c>
      <c r="GQD335" s="301" t="s">
        <v>470</v>
      </c>
      <c r="GQE335" s="301" t="s">
        <v>470</v>
      </c>
      <c r="GQF335" s="301" t="s">
        <v>470</v>
      </c>
      <c r="GQG335" s="301" t="s">
        <v>470</v>
      </c>
      <c r="GQH335" s="301" t="s">
        <v>470</v>
      </c>
      <c r="GQI335" s="301" t="s">
        <v>470</v>
      </c>
      <c r="GQJ335" s="301" t="s">
        <v>470</v>
      </c>
      <c r="GQK335" s="301" t="s">
        <v>470</v>
      </c>
      <c r="GQL335" s="301" t="s">
        <v>470</v>
      </c>
      <c r="GQM335" s="301" t="s">
        <v>470</v>
      </c>
      <c r="GQN335" s="301" t="s">
        <v>470</v>
      </c>
      <c r="GQO335" s="301" t="s">
        <v>470</v>
      </c>
      <c r="GQP335" s="301" t="s">
        <v>470</v>
      </c>
      <c r="GQQ335" s="301" t="s">
        <v>470</v>
      </c>
      <c r="GQR335" s="301" t="s">
        <v>470</v>
      </c>
      <c r="GQS335" s="301" t="s">
        <v>470</v>
      </c>
      <c r="GQT335" s="301" t="s">
        <v>470</v>
      </c>
      <c r="GQU335" s="301" t="s">
        <v>470</v>
      </c>
      <c r="GQV335" s="301" t="s">
        <v>470</v>
      </c>
      <c r="GQW335" s="301" t="s">
        <v>470</v>
      </c>
      <c r="GQX335" s="301" t="s">
        <v>470</v>
      </c>
      <c r="GQY335" s="301" t="s">
        <v>470</v>
      </c>
      <c r="GQZ335" s="301" t="s">
        <v>470</v>
      </c>
      <c r="GRA335" s="301" t="s">
        <v>470</v>
      </c>
      <c r="GRB335" s="301" t="s">
        <v>470</v>
      </c>
      <c r="GRC335" s="301" t="s">
        <v>470</v>
      </c>
      <c r="GRD335" s="301" t="s">
        <v>470</v>
      </c>
      <c r="GRE335" s="301" t="s">
        <v>470</v>
      </c>
      <c r="GRF335" s="301" t="s">
        <v>470</v>
      </c>
      <c r="GRG335" s="301" t="s">
        <v>470</v>
      </c>
      <c r="GRH335" s="301" t="s">
        <v>470</v>
      </c>
      <c r="GRI335" s="301" t="s">
        <v>470</v>
      </c>
      <c r="GRJ335" s="301" t="s">
        <v>470</v>
      </c>
      <c r="GRK335" s="301" t="s">
        <v>470</v>
      </c>
      <c r="GRL335" s="301" t="s">
        <v>470</v>
      </c>
      <c r="GRM335" s="301" t="s">
        <v>470</v>
      </c>
      <c r="GRN335" s="301" t="s">
        <v>470</v>
      </c>
      <c r="GRO335" s="301" t="s">
        <v>470</v>
      </c>
      <c r="GRP335" s="301" t="s">
        <v>470</v>
      </c>
      <c r="GRQ335" s="301" t="s">
        <v>470</v>
      </c>
      <c r="GRR335" s="301" t="s">
        <v>470</v>
      </c>
      <c r="GRS335" s="301" t="s">
        <v>470</v>
      </c>
      <c r="GRT335" s="301" t="s">
        <v>470</v>
      </c>
      <c r="GRU335" s="301" t="s">
        <v>470</v>
      </c>
      <c r="GRV335" s="301" t="s">
        <v>470</v>
      </c>
      <c r="GRW335" s="301" t="s">
        <v>470</v>
      </c>
      <c r="GRX335" s="301" t="s">
        <v>470</v>
      </c>
      <c r="GRY335" s="301" t="s">
        <v>470</v>
      </c>
      <c r="GRZ335" s="301" t="s">
        <v>470</v>
      </c>
      <c r="GSA335" s="301" t="s">
        <v>470</v>
      </c>
      <c r="GSB335" s="301" t="s">
        <v>470</v>
      </c>
      <c r="GSC335" s="301" t="s">
        <v>470</v>
      </c>
      <c r="GSD335" s="301" t="s">
        <v>470</v>
      </c>
      <c r="GSE335" s="301" t="s">
        <v>470</v>
      </c>
      <c r="GSF335" s="301" t="s">
        <v>470</v>
      </c>
      <c r="GSG335" s="301" t="s">
        <v>470</v>
      </c>
      <c r="GSH335" s="301" t="s">
        <v>470</v>
      </c>
      <c r="GSI335" s="301" t="s">
        <v>470</v>
      </c>
      <c r="GSJ335" s="301" t="s">
        <v>470</v>
      </c>
      <c r="GSK335" s="301" t="s">
        <v>470</v>
      </c>
      <c r="GSL335" s="301" t="s">
        <v>470</v>
      </c>
      <c r="GSM335" s="301" t="s">
        <v>470</v>
      </c>
      <c r="GSN335" s="301" t="s">
        <v>470</v>
      </c>
      <c r="GSO335" s="301" t="s">
        <v>470</v>
      </c>
      <c r="GSP335" s="301" t="s">
        <v>470</v>
      </c>
      <c r="GSQ335" s="301" t="s">
        <v>470</v>
      </c>
      <c r="GSR335" s="301" t="s">
        <v>470</v>
      </c>
      <c r="GSS335" s="301" t="s">
        <v>470</v>
      </c>
      <c r="GST335" s="301" t="s">
        <v>470</v>
      </c>
      <c r="GSU335" s="301" t="s">
        <v>470</v>
      </c>
      <c r="GSV335" s="301" t="s">
        <v>470</v>
      </c>
      <c r="GSW335" s="301" t="s">
        <v>470</v>
      </c>
      <c r="GSX335" s="301" t="s">
        <v>470</v>
      </c>
      <c r="GSY335" s="301" t="s">
        <v>470</v>
      </c>
      <c r="GSZ335" s="301" t="s">
        <v>470</v>
      </c>
      <c r="GTA335" s="301" t="s">
        <v>470</v>
      </c>
      <c r="GTB335" s="301" t="s">
        <v>470</v>
      </c>
      <c r="GTC335" s="301" t="s">
        <v>470</v>
      </c>
      <c r="GTD335" s="301" t="s">
        <v>470</v>
      </c>
      <c r="GTE335" s="301" t="s">
        <v>470</v>
      </c>
      <c r="GTF335" s="301" t="s">
        <v>470</v>
      </c>
      <c r="GTG335" s="301" t="s">
        <v>470</v>
      </c>
      <c r="GTH335" s="301" t="s">
        <v>470</v>
      </c>
      <c r="GTI335" s="301" t="s">
        <v>470</v>
      </c>
      <c r="GTJ335" s="301" t="s">
        <v>470</v>
      </c>
      <c r="GTK335" s="301" t="s">
        <v>470</v>
      </c>
      <c r="GTL335" s="301" t="s">
        <v>470</v>
      </c>
      <c r="GTM335" s="301" t="s">
        <v>470</v>
      </c>
      <c r="GTN335" s="301" t="s">
        <v>470</v>
      </c>
      <c r="GTO335" s="301" t="s">
        <v>470</v>
      </c>
      <c r="GTP335" s="301" t="s">
        <v>470</v>
      </c>
      <c r="GTQ335" s="301" t="s">
        <v>470</v>
      </c>
      <c r="GTR335" s="301" t="s">
        <v>470</v>
      </c>
      <c r="GTS335" s="301" t="s">
        <v>470</v>
      </c>
      <c r="GTT335" s="301" t="s">
        <v>470</v>
      </c>
      <c r="GTU335" s="301" t="s">
        <v>470</v>
      </c>
      <c r="GTV335" s="301" t="s">
        <v>470</v>
      </c>
      <c r="GTW335" s="301" t="s">
        <v>470</v>
      </c>
      <c r="GTX335" s="301" t="s">
        <v>470</v>
      </c>
      <c r="GTY335" s="301" t="s">
        <v>470</v>
      </c>
      <c r="GTZ335" s="301" t="s">
        <v>470</v>
      </c>
      <c r="GUA335" s="301" t="s">
        <v>470</v>
      </c>
      <c r="GUB335" s="301" t="s">
        <v>470</v>
      </c>
      <c r="GUC335" s="301" t="s">
        <v>470</v>
      </c>
      <c r="GUD335" s="301" t="s">
        <v>470</v>
      </c>
      <c r="GUE335" s="301" t="s">
        <v>470</v>
      </c>
      <c r="GUF335" s="301" t="s">
        <v>470</v>
      </c>
      <c r="GUG335" s="301" t="s">
        <v>470</v>
      </c>
      <c r="GUH335" s="301" t="s">
        <v>470</v>
      </c>
      <c r="GUI335" s="301" t="s">
        <v>470</v>
      </c>
      <c r="GUJ335" s="301" t="s">
        <v>470</v>
      </c>
      <c r="GUK335" s="301" t="s">
        <v>470</v>
      </c>
      <c r="GUL335" s="301" t="s">
        <v>470</v>
      </c>
      <c r="GUM335" s="301" t="s">
        <v>470</v>
      </c>
      <c r="GUN335" s="301" t="s">
        <v>470</v>
      </c>
      <c r="GUO335" s="301" t="s">
        <v>470</v>
      </c>
      <c r="GUP335" s="301" t="s">
        <v>470</v>
      </c>
      <c r="GUQ335" s="301" t="s">
        <v>470</v>
      </c>
      <c r="GUR335" s="301" t="s">
        <v>470</v>
      </c>
      <c r="GUS335" s="301" t="s">
        <v>470</v>
      </c>
      <c r="GUT335" s="301" t="s">
        <v>470</v>
      </c>
      <c r="GUU335" s="301" t="s">
        <v>470</v>
      </c>
      <c r="GUV335" s="301" t="s">
        <v>470</v>
      </c>
      <c r="GUW335" s="301" t="s">
        <v>470</v>
      </c>
      <c r="GUX335" s="301" t="s">
        <v>470</v>
      </c>
      <c r="GUY335" s="301" t="s">
        <v>470</v>
      </c>
      <c r="GUZ335" s="301" t="s">
        <v>470</v>
      </c>
      <c r="GVA335" s="301" t="s">
        <v>470</v>
      </c>
      <c r="GVB335" s="301" t="s">
        <v>470</v>
      </c>
      <c r="GVC335" s="301" t="s">
        <v>470</v>
      </c>
      <c r="GVD335" s="301" t="s">
        <v>470</v>
      </c>
      <c r="GVE335" s="301" t="s">
        <v>470</v>
      </c>
      <c r="GVF335" s="301" t="s">
        <v>470</v>
      </c>
      <c r="GVG335" s="301" t="s">
        <v>470</v>
      </c>
      <c r="GVH335" s="301" t="s">
        <v>470</v>
      </c>
      <c r="GVI335" s="301" t="s">
        <v>470</v>
      </c>
      <c r="GVJ335" s="301" t="s">
        <v>470</v>
      </c>
      <c r="GVK335" s="301" t="s">
        <v>470</v>
      </c>
      <c r="GVL335" s="301" t="s">
        <v>470</v>
      </c>
      <c r="GVM335" s="301" t="s">
        <v>470</v>
      </c>
      <c r="GVN335" s="301" t="s">
        <v>470</v>
      </c>
      <c r="GVO335" s="301" t="s">
        <v>470</v>
      </c>
      <c r="GVP335" s="301" t="s">
        <v>470</v>
      </c>
      <c r="GVQ335" s="301" t="s">
        <v>470</v>
      </c>
      <c r="GVR335" s="301" t="s">
        <v>470</v>
      </c>
      <c r="GVS335" s="301" t="s">
        <v>470</v>
      </c>
      <c r="GVT335" s="301" t="s">
        <v>470</v>
      </c>
      <c r="GVU335" s="301" t="s">
        <v>470</v>
      </c>
      <c r="GVV335" s="301" t="s">
        <v>470</v>
      </c>
      <c r="GVW335" s="301" t="s">
        <v>470</v>
      </c>
      <c r="GVX335" s="301" t="s">
        <v>470</v>
      </c>
      <c r="GVY335" s="301" t="s">
        <v>470</v>
      </c>
      <c r="GVZ335" s="301" t="s">
        <v>470</v>
      </c>
      <c r="GWA335" s="301" t="s">
        <v>470</v>
      </c>
      <c r="GWB335" s="301" t="s">
        <v>470</v>
      </c>
      <c r="GWC335" s="301" t="s">
        <v>470</v>
      </c>
      <c r="GWD335" s="301" t="s">
        <v>470</v>
      </c>
      <c r="GWE335" s="301" t="s">
        <v>470</v>
      </c>
      <c r="GWF335" s="301" t="s">
        <v>470</v>
      </c>
      <c r="GWG335" s="301" t="s">
        <v>470</v>
      </c>
      <c r="GWH335" s="301" t="s">
        <v>470</v>
      </c>
      <c r="GWI335" s="301" t="s">
        <v>470</v>
      </c>
      <c r="GWJ335" s="301" t="s">
        <v>470</v>
      </c>
      <c r="GWK335" s="301" t="s">
        <v>470</v>
      </c>
      <c r="GWL335" s="301" t="s">
        <v>470</v>
      </c>
      <c r="GWM335" s="301" t="s">
        <v>470</v>
      </c>
      <c r="GWN335" s="301" t="s">
        <v>470</v>
      </c>
      <c r="GWO335" s="301" t="s">
        <v>470</v>
      </c>
      <c r="GWP335" s="301" t="s">
        <v>470</v>
      </c>
      <c r="GWQ335" s="301" t="s">
        <v>470</v>
      </c>
      <c r="GWR335" s="301" t="s">
        <v>470</v>
      </c>
      <c r="GWS335" s="301" t="s">
        <v>470</v>
      </c>
      <c r="GWT335" s="301" t="s">
        <v>470</v>
      </c>
      <c r="GWU335" s="301" t="s">
        <v>470</v>
      </c>
      <c r="GWV335" s="301" t="s">
        <v>470</v>
      </c>
      <c r="GWW335" s="301" t="s">
        <v>470</v>
      </c>
      <c r="GWX335" s="301" t="s">
        <v>470</v>
      </c>
      <c r="GWY335" s="301" t="s">
        <v>470</v>
      </c>
      <c r="GWZ335" s="301" t="s">
        <v>470</v>
      </c>
      <c r="GXA335" s="301" t="s">
        <v>470</v>
      </c>
      <c r="GXB335" s="301" t="s">
        <v>470</v>
      </c>
      <c r="GXC335" s="301" t="s">
        <v>470</v>
      </c>
      <c r="GXD335" s="301" t="s">
        <v>470</v>
      </c>
      <c r="GXE335" s="301" t="s">
        <v>470</v>
      </c>
      <c r="GXF335" s="301" t="s">
        <v>470</v>
      </c>
      <c r="GXG335" s="301" t="s">
        <v>470</v>
      </c>
      <c r="GXH335" s="301" t="s">
        <v>470</v>
      </c>
      <c r="GXI335" s="301" t="s">
        <v>470</v>
      </c>
      <c r="GXJ335" s="301" t="s">
        <v>470</v>
      </c>
      <c r="GXK335" s="301" t="s">
        <v>470</v>
      </c>
      <c r="GXL335" s="301" t="s">
        <v>470</v>
      </c>
      <c r="GXM335" s="301" t="s">
        <v>470</v>
      </c>
      <c r="GXN335" s="301" t="s">
        <v>470</v>
      </c>
      <c r="GXO335" s="301" t="s">
        <v>470</v>
      </c>
      <c r="GXP335" s="301" t="s">
        <v>470</v>
      </c>
      <c r="GXQ335" s="301" t="s">
        <v>470</v>
      </c>
      <c r="GXR335" s="301" t="s">
        <v>470</v>
      </c>
      <c r="GXS335" s="301" t="s">
        <v>470</v>
      </c>
      <c r="GXT335" s="301" t="s">
        <v>470</v>
      </c>
      <c r="GXU335" s="301" t="s">
        <v>470</v>
      </c>
      <c r="GXV335" s="301" t="s">
        <v>470</v>
      </c>
      <c r="GXW335" s="301" t="s">
        <v>470</v>
      </c>
      <c r="GXX335" s="301" t="s">
        <v>470</v>
      </c>
      <c r="GXY335" s="301" t="s">
        <v>470</v>
      </c>
      <c r="GXZ335" s="301" t="s">
        <v>470</v>
      </c>
      <c r="GYA335" s="301" t="s">
        <v>470</v>
      </c>
      <c r="GYB335" s="301" t="s">
        <v>470</v>
      </c>
      <c r="GYC335" s="301" t="s">
        <v>470</v>
      </c>
      <c r="GYD335" s="301" t="s">
        <v>470</v>
      </c>
      <c r="GYE335" s="301" t="s">
        <v>470</v>
      </c>
      <c r="GYF335" s="301" t="s">
        <v>470</v>
      </c>
      <c r="GYG335" s="301" t="s">
        <v>470</v>
      </c>
      <c r="GYH335" s="301" t="s">
        <v>470</v>
      </c>
      <c r="GYI335" s="301" t="s">
        <v>470</v>
      </c>
      <c r="GYJ335" s="301" t="s">
        <v>470</v>
      </c>
      <c r="GYK335" s="301" t="s">
        <v>470</v>
      </c>
      <c r="GYL335" s="301" t="s">
        <v>470</v>
      </c>
      <c r="GYM335" s="301" t="s">
        <v>470</v>
      </c>
      <c r="GYN335" s="301" t="s">
        <v>470</v>
      </c>
      <c r="GYO335" s="301" t="s">
        <v>470</v>
      </c>
      <c r="GYP335" s="301" t="s">
        <v>470</v>
      </c>
      <c r="GYQ335" s="301" t="s">
        <v>470</v>
      </c>
      <c r="GYR335" s="301" t="s">
        <v>470</v>
      </c>
      <c r="GYS335" s="301" t="s">
        <v>470</v>
      </c>
      <c r="GYT335" s="301" t="s">
        <v>470</v>
      </c>
      <c r="GYU335" s="301" t="s">
        <v>470</v>
      </c>
      <c r="GYV335" s="301" t="s">
        <v>470</v>
      </c>
      <c r="GYW335" s="301" t="s">
        <v>470</v>
      </c>
      <c r="GYX335" s="301" t="s">
        <v>470</v>
      </c>
      <c r="GYY335" s="301" t="s">
        <v>470</v>
      </c>
      <c r="GYZ335" s="301" t="s">
        <v>470</v>
      </c>
      <c r="GZA335" s="301" t="s">
        <v>470</v>
      </c>
      <c r="GZB335" s="301" t="s">
        <v>470</v>
      </c>
      <c r="GZC335" s="301" t="s">
        <v>470</v>
      </c>
      <c r="GZD335" s="301" t="s">
        <v>470</v>
      </c>
      <c r="GZE335" s="301" t="s">
        <v>470</v>
      </c>
      <c r="GZF335" s="301" t="s">
        <v>470</v>
      </c>
      <c r="GZG335" s="301" t="s">
        <v>470</v>
      </c>
      <c r="GZH335" s="301" t="s">
        <v>470</v>
      </c>
      <c r="GZI335" s="301" t="s">
        <v>470</v>
      </c>
      <c r="GZJ335" s="301" t="s">
        <v>470</v>
      </c>
      <c r="GZK335" s="301" t="s">
        <v>470</v>
      </c>
      <c r="GZL335" s="301" t="s">
        <v>470</v>
      </c>
      <c r="GZM335" s="301" t="s">
        <v>470</v>
      </c>
      <c r="GZN335" s="301" t="s">
        <v>470</v>
      </c>
      <c r="GZO335" s="301" t="s">
        <v>470</v>
      </c>
      <c r="GZP335" s="301" t="s">
        <v>470</v>
      </c>
      <c r="GZQ335" s="301" t="s">
        <v>470</v>
      </c>
      <c r="GZR335" s="301" t="s">
        <v>470</v>
      </c>
      <c r="GZS335" s="301" t="s">
        <v>470</v>
      </c>
      <c r="GZT335" s="301" t="s">
        <v>470</v>
      </c>
      <c r="GZU335" s="301" t="s">
        <v>470</v>
      </c>
      <c r="GZV335" s="301" t="s">
        <v>470</v>
      </c>
      <c r="GZW335" s="301" t="s">
        <v>470</v>
      </c>
      <c r="GZX335" s="301" t="s">
        <v>470</v>
      </c>
      <c r="GZY335" s="301" t="s">
        <v>470</v>
      </c>
      <c r="GZZ335" s="301" t="s">
        <v>470</v>
      </c>
      <c r="HAA335" s="301" t="s">
        <v>470</v>
      </c>
      <c r="HAB335" s="301" t="s">
        <v>470</v>
      </c>
      <c r="HAC335" s="301" t="s">
        <v>470</v>
      </c>
      <c r="HAD335" s="301" t="s">
        <v>470</v>
      </c>
      <c r="HAE335" s="301" t="s">
        <v>470</v>
      </c>
      <c r="HAF335" s="301" t="s">
        <v>470</v>
      </c>
      <c r="HAG335" s="301" t="s">
        <v>470</v>
      </c>
      <c r="HAH335" s="301" t="s">
        <v>470</v>
      </c>
      <c r="HAI335" s="301" t="s">
        <v>470</v>
      </c>
      <c r="HAJ335" s="301" t="s">
        <v>470</v>
      </c>
      <c r="HAK335" s="301" t="s">
        <v>470</v>
      </c>
      <c r="HAL335" s="301" t="s">
        <v>470</v>
      </c>
      <c r="HAM335" s="301" t="s">
        <v>470</v>
      </c>
      <c r="HAN335" s="301" t="s">
        <v>470</v>
      </c>
      <c r="HAO335" s="301" t="s">
        <v>470</v>
      </c>
      <c r="HAP335" s="301" t="s">
        <v>470</v>
      </c>
      <c r="HAQ335" s="301" t="s">
        <v>470</v>
      </c>
      <c r="HAR335" s="301" t="s">
        <v>470</v>
      </c>
      <c r="HAS335" s="301" t="s">
        <v>470</v>
      </c>
      <c r="HAT335" s="301" t="s">
        <v>470</v>
      </c>
      <c r="HAU335" s="301" t="s">
        <v>470</v>
      </c>
      <c r="HAV335" s="301" t="s">
        <v>470</v>
      </c>
      <c r="HAW335" s="301" t="s">
        <v>470</v>
      </c>
      <c r="HAX335" s="301" t="s">
        <v>470</v>
      </c>
      <c r="HAY335" s="301" t="s">
        <v>470</v>
      </c>
      <c r="HAZ335" s="301" t="s">
        <v>470</v>
      </c>
      <c r="HBA335" s="301" t="s">
        <v>470</v>
      </c>
      <c r="HBB335" s="301" t="s">
        <v>470</v>
      </c>
      <c r="HBC335" s="301" t="s">
        <v>470</v>
      </c>
      <c r="HBD335" s="301" t="s">
        <v>470</v>
      </c>
      <c r="HBE335" s="301" t="s">
        <v>470</v>
      </c>
      <c r="HBF335" s="301" t="s">
        <v>470</v>
      </c>
      <c r="HBG335" s="301" t="s">
        <v>470</v>
      </c>
      <c r="HBH335" s="301" t="s">
        <v>470</v>
      </c>
      <c r="HBI335" s="301" t="s">
        <v>470</v>
      </c>
      <c r="HBJ335" s="301" t="s">
        <v>470</v>
      </c>
      <c r="HBK335" s="301" t="s">
        <v>470</v>
      </c>
      <c r="HBL335" s="301" t="s">
        <v>470</v>
      </c>
      <c r="HBM335" s="301" t="s">
        <v>470</v>
      </c>
      <c r="HBN335" s="301" t="s">
        <v>470</v>
      </c>
      <c r="HBO335" s="301" t="s">
        <v>470</v>
      </c>
      <c r="HBP335" s="301" t="s">
        <v>470</v>
      </c>
      <c r="HBQ335" s="301" t="s">
        <v>470</v>
      </c>
      <c r="HBR335" s="301" t="s">
        <v>470</v>
      </c>
      <c r="HBS335" s="301" t="s">
        <v>470</v>
      </c>
      <c r="HBT335" s="301" t="s">
        <v>470</v>
      </c>
      <c r="HBU335" s="301" t="s">
        <v>470</v>
      </c>
      <c r="HBV335" s="301" t="s">
        <v>470</v>
      </c>
      <c r="HBW335" s="301" t="s">
        <v>470</v>
      </c>
      <c r="HBX335" s="301" t="s">
        <v>470</v>
      </c>
      <c r="HBY335" s="301" t="s">
        <v>470</v>
      </c>
      <c r="HBZ335" s="301" t="s">
        <v>470</v>
      </c>
      <c r="HCA335" s="301" t="s">
        <v>470</v>
      </c>
      <c r="HCB335" s="301" t="s">
        <v>470</v>
      </c>
      <c r="HCC335" s="301" t="s">
        <v>470</v>
      </c>
      <c r="HCD335" s="301" t="s">
        <v>470</v>
      </c>
      <c r="HCE335" s="301" t="s">
        <v>470</v>
      </c>
      <c r="HCF335" s="301" t="s">
        <v>470</v>
      </c>
      <c r="HCG335" s="301" t="s">
        <v>470</v>
      </c>
      <c r="HCH335" s="301" t="s">
        <v>470</v>
      </c>
      <c r="HCI335" s="301" t="s">
        <v>470</v>
      </c>
      <c r="HCJ335" s="301" t="s">
        <v>470</v>
      </c>
      <c r="HCK335" s="301" t="s">
        <v>470</v>
      </c>
      <c r="HCL335" s="301" t="s">
        <v>470</v>
      </c>
      <c r="HCM335" s="301" t="s">
        <v>470</v>
      </c>
      <c r="HCN335" s="301" t="s">
        <v>470</v>
      </c>
      <c r="HCO335" s="301" t="s">
        <v>470</v>
      </c>
      <c r="HCP335" s="301" t="s">
        <v>470</v>
      </c>
      <c r="HCQ335" s="301" t="s">
        <v>470</v>
      </c>
      <c r="HCR335" s="301" t="s">
        <v>470</v>
      </c>
      <c r="HCS335" s="301" t="s">
        <v>470</v>
      </c>
      <c r="HCT335" s="301" t="s">
        <v>470</v>
      </c>
      <c r="HCU335" s="301" t="s">
        <v>470</v>
      </c>
      <c r="HCV335" s="301" t="s">
        <v>470</v>
      </c>
      <c r="HCW335" s="301" t="s">
        <v>470</v>
      </c>
      <c r="HCX335" s="301" t="s">
        <v>470</v>
      </c>
      <c r="HCY335" s="301" t="s">
        <v>470</v>
      </c>
      <c r="HCZ335" s="301" t="s">
        <v>470</v>
      </c>
      <c r="HDA335" s="301" t="s">
        <v>470</v>
      </c>
      <c r="HDB335" s="301" t="s">
        <v>470</v>
      </c>
      <c r="HDC335" s="301" t="s">
        <v>470</v>
      </c>
      <c r="HDD335" s="301" t="s">
        <v>470</v>
      </c>
      <c r="HDE335" s="301" t="s">
        <v>470</v>
      </c>
      <c r="HDF335" s="301" t="s">
        <v>470</v>
      </c>
      <c r="HDG335" s="301" t="s">
        <v>470</v>
      </c>
      <c r="HDH335" s="301" t="s">
        <v>470</v>
      </c>
      <c r="HDI335" s="301" t="s">
        <v>470</v>
      </c>
      <c r="HDJ335" s="301" t="s">
        <v>470</v>
      </c>
      <c r="HDK335" s="301" t="s">
        <v>470</v>
      </c>
      <c r="HDL335" s="301" t="s">
        <v>470</v>
      </c>
      <c r="HDM335" s="301" t="s">
        <v>470</v>
      </c>
      <c r="HDN335" s="301" t="s">
        <v>470</v>
      </c>
      <c r="HDO335" s="301" t="s">
        <v>470</v>
      </c>
      <c r="HDP335" s="301" t="s">
        <v>470</v>
      </c>
      <c r="HDQ335" s="301" t="s">
        <v>470</v>
      </c>
      <c r="HDR335" s="301" t="s">
        <v>470</v>
      </c>
      <c r="HDS335" s="301" t="s">
        <v>470</v>
      </c>
      <c r="HDT335" s="301" t="s">
        <v>470</v>
      </c>
      <c r="HDU335" s="301" t="s">
        <v>470</v>
      </c>
      <c r="HDV335" s="301" t="s">
        <v>470</v>
      </c>
      <c r="HDW335" s="301" t="s">
        <v>470</v>
      </c>
      <c r="HDX335" s="301" t="s">
        <v>470</v>
      </c>
      <c r="HDY335" s="301" t="s">
        <v>470</v>
      </c>
      <c r="HDZ335" s="301" t="s">
        <v>470</v>
      </c>
      <c r="HEA335" s="301" t="s">
        <v>470</v>
      </c>
      <c r="HEB335" s="301" t="s">
        <v>470</v>
      </c>
      <c r="HEC335" s="301" t="s">
        <v>470</v>
      </c>
      <c r="HED335" s="301" t="s">
        <v>470</v>
      </c>
      <c r="HEE335" s="301" t="s">
        <v>470</v>
      </c>
      <c r="HEF335" s="301" t="s">
        <v>470</v>
      </c>
      <c r="HEG335" s="301" t="s">
        <v>470</v>
      </c>
      <c r="HEH335" s="301" t="s">
        <v>470</v>
      </c>
      <c r="HEI335" s="301" t="s">
        <v>470</v>
      </c>
      <c r="HEJ335" s="301" t="s">
        <v>470</v>
      </c>
      <c r="HEK335" s="301" t="s">
        <v>470</v>
      </c>
      <c r="HEL335" s="301" t="s">
        <v>470</v>
      </c>
      <c r="HEM335" s="301" t="s">
        <v>470</v>
      </c>
      <c r="HEN335" s="301" t="s">
        <v>470</v>
      </c>
      <c r="HEO335" s="301" t="s">
        <v>470</v>
      </c>
      <c r="HEP335" s="301" t="s">
        <v>470</v>
      </c>
      <c r="HEQ335" s="301" t="s">
        <v>470</v>
      </c>
      <c r="HER335" s="301" t="s">
        <v>470</v>
      </c>
      <c r="HES335" s="301" t="s">
        <v>470</v>
      </c>
      <c r="HET335" s="301" t="s">
        <v>470</v>
      </c>
      <c r="HEU335" s="301" t="s">
        <v>470</v>
      </c>
      <c r="HEV335" s="301" t="s">
        <v>470</v>
      </c>
      <c r="HEW335" s="301" t="s">
        <v>470</v>
      </c>
      <c r="HEX335" s="301" t="s">
        <v>470</v>
      </c>
      <c r="HEY335" s="301" t="s">
        <v>470</v>
      </c>
      <c r="HEZ335" s="301" t="s">
        <v>470</v>
      </c>
      <c r="HFA335" s="301" t="s">
        <v>470</v>
      </c>
      <c r="HFB335" s="301" t="s">
        <v>470</v>
      </c>
      <c r="HFC335" s="301" t="s">
        <v>470</v>
      </c>
      <c r="HFD335" s="301" t="s">
        <v>470</v>
      </c>
      <c r="HFE335" s="301" t="s">
        <v>470</v>
      </c>
      <c r="HFF335" s="301" t="s">
        <v>470</v>
      </c>
      <c r="HFG335" s="301" t="s">
        <v>470</v>
      </c>
      <c r="HFH335" s="301" t="s">
        <v>470</v>
      </c>
      <c r="HFI335" s="301" t="s">
        <v>470</v>
      </c>
      <c r="HFJ335" s="301" t="s">
        <v>470</v>
      </c>
      <c r="HFK335" s="301" t="s">
        <v>470</v>
      </c>
      <c r="HFL335" s="301" t="s">
        <v>470</v>
      </c>
      <c r="HFM335" s="301" t="s">
        <v>470</v>
      </c>
      <c r="HFN335" s="301" t="s">
        <v>470</v>
      </c>
      <c r="HFO335" s="301" t="s">
        <v>470</v>
      </c>
      <c r="HFP335" s="301" t="s">
        <v>470</v>
      </c>
      <c r="HFQ335" s="301" t="s">
        <v>470</v>
      </c>
      <c r="HFR335" s="301" t="s">
        <v>470</v>
      </c>
      <c r="HFS335" s="301" t="s">
        <v>470</v>
      </c>
      <c r="HFT335" s="301" t="s">
        <v>470</v>
      </c>
      <c r="HFU335" s="301" t="s">
        <v>470</v>
      </c>
      <c r="HFV335" s="301" t="s">
        <v>470</v>
      </c>
      <c r="HFW335" s="301" t="s">
        <v>470</v>
      </c>
      <c r="HFX335" s="301" t="s">
        <v>470</v>
      </c>
      <c r="HFY335" s="301" t="s">
        <v>470</v>
      </c>
      <c r="HFZ335" s="301" t="s">
        <v>470</v>
      </c>
      <c r="HGA335" s="301" t="s">
        <v>470</v>
      </c>
      <c r="HGB335" s="301" t="s">
        <v>470</v>
      </c>
      <c r="HGC335" s="301" t="s">
        <v>470</v>
      </c>
      <c r="HGD335" s="301" t="s">
        <v>470</v>
      </c>
      <c r="HGE335" s="301" t="s">
        <v>470</v>
      </c>
      <c r="HGF335" s="301" t="s">
        <v>470</v>
      </c>
      <c r="HGG335" s="301" t="s">
        <v>470</v>
      </c>
      <c r="HGH335" s="301" t="s">
        <v>470</v>
      </c>
      <c r="HGI335" s="301" t="s">
        <v>470</v>
      </c>
      <c r="HGJ335" s="301" t="s">
        <v>470</v>
      </c>
      <c r="HGK335" s="301" t="s">
        <v>470</v>
      </c>
      <c r="HGL335" s="301" t="s">
        <v>470</v>
      </c>
      <c r="HGM335" s="301" t="s">
        <v>470</v>
      </c>
      <c r="HGN335" s="301" t="s">
        <v>470</v>
      </c>
      <c r="HGO335" s="301" t="s">
        <v>470</v>
      </c>
      <c r="HGP335" s="301" t="s">
        <v>470</v>
      </c>
      <c r="HGQ335" s="301" t="s">
        <v>470</v>
      </c>
      <c r="HGR335" s="301" t="s">
        <v>470</v>
      </c>
      <c r="HGS335" s="301" t="s">
        <v>470</v>
      </c>
      <c r="HGT335" s="301" t="s">
        <v>470</v>
      </c>
      <c r="HGU335" s="301" t="s">
        <v>470</v>
      </c>
      <c r="HGV335" s="301" t="s">
        <v>470</v>
      </c>
      <c r="HGW335" s="301" t="s">
        <v>470</v>
      </c>
      <c r="HGX335" s="301" t="s">
        <v>470</v>
      </c>
      <c r="HGY335" s="301" t="s">
        <v>470</v>
      </c>
      <c r="HGZ335" s="301" t="s">
        <v>470</v>
      </c>
      <c r="HHA335" s="301" t="s">
        <v>470</v>
      </c>
      <c r="HHB335" s="301" t="s">
        <v>470</v>
      </c>
      <c r="HHC335" s="301" t="s">
        <v>470</v>
      </c>
      <c r="HHD335" s="301" t="s">
        <v>470</v>
      </c>
      <c r="HHE335" s="301" t="s">
        <v>470</v>
      </c>
      <c r="HHF335" s="301" t="s">
        <v>470</v>
      </c>
      <c r="HHG335" s="301" t="s">
        <v>470</v>
      </c>
      <c r="HHH335" s="301" t="s">
        <v>470</v>
      </c>
      <c r="HHI335" s="301" t="s">
        <v>470</v>
      </c>
      <c r="HHJ335" s="301" t="s">
        <v>470</v>
      </c>
      <c r="HHK335" s="301" t="s">
        <v>470</v>
      </c>
      <c r="HHL335" s="301" t="s">
        <v>470</v>
      </c>
      <c r="HHM335" s="301" t="s">
        <v>470</v>
      </c>
      <c r="HHN335" s="301" t="s">
        <v>470</v>
      </c>
      <c r="HHO335" s="301" t="s">
        <v>470</v>
      </c>
      <c r="HHP335" s="301" t="s">
        <v>470</v>
      </c>
      <c r="HHQ335" s="301" t="s">
        <v>470</v>
      </c>
      <c r="HHR335" s="301" t="s">
        <v>470</v>
      </c>
      <c r="HHS335" s="301" t="s">
        <v>470</v>
      </c>
      <c r="HHT335" s="301" t="s">
        <v>470</v>
      </c>
      <c r="HHU335" s="301" t="s">
        <v>470</v>
      </c>
      <c r="HHV335" s="301" t="s">
        <v>470</v>
      </c>
      <c r="HHW335" s="301" t="s">
        <v>470</v>
      </c>
      <c r="HHX335" s="301" t="s">
        <v>470</v>
      </c>
      <c r="HHY335" s="301" t="s">
        <v>470</v>
      </c>
      <c r="HHZ335" s="301" t="s">
        <v>470</v>
      </c>
      <c r="HIA335" s="301" t="s">
        <v>470</v>
      </c>
      <c r="HIB335" s="301" t="s">
        <v>470</v>
      </c>
      <c r="HIC335" s="301" t="s">
        <v>470</v>
      </c>
      <c r="HID335" s="301" t="s">
        <v>470</v>
      </c>
      <c r="HIE335" s="301" t="s">
        <v>470</v>
      </c>
      <c r="HIF335" s="301" t="s">
        <v>470</v>
      </c>
      <c r="HIG335" s="301" t="s">
        <v>470</v>
      </c>
      <c r="HIH335" s="301" t="s">
        <v>470</v>
      </c>
      <c r="HII335" s="301" t="s">
        <v>470</v>
      </c>
      <c r="HIJ335" s="301" t="s">
        <v>470</v>
      </c>
      <c r="HIK335" s="301" t="s">
        <v>470</v>
      </c>
      <c r="HIL335" s="301" t="s">
        <v>470</v>
      </c>
      <c r="HIM335" s="301" t="s">
        <v>470</v>
      </c>
      <c r="HIN335" s="301" t="s">
        <v>470</v>
      </c>
      <c r="HIO335" s="301" t="s">
        <v>470</v>
      </c>
      <c r="HIP335" s="301" t="s">
        <v>470</v>
      </c>
      <c r="HIQ335" s="301" t="s">
        <v>470</v>
      </c>
      <c r="HIR335" s="301" t="s">
        <v>470</v>
      </c>
      <c r="HIS335" s="301" t="s">
        <v>470</v>
      </c>
      <c r="HIT335" s="301" t="s">
        <v>470</v>
      </c>
      <c r="HIU335" s="301" t="s">
        <v>470</v>
      </c>
      <c r="HIV335" s="301" t="s">
        <v>470</v>
      </c>
      <c r="HIW335" s="301" t="s">
        <v>470</v>
      </c>
      <c r="HIX335" s="301" t="s">
        <v>470</v>
      </c>
      <c r="HIY335" s="301" t="s">
        <v>470</v>
      </c>
      <c r="HIZ335" s="301" t="s">
        <v>470</v>
      </c>
      <c r="HJA335" s="301" t="s">
        <v>470</v>
      </c>
      <c r="HJB335" s="301" t="s">
        <v>470</v>
      </c>
      <c r="HJC335" s="301" t="s">
        <v>470</v>
      </c>
      <c r="HJD335" s="301" t="s">
        <v>470</v>
      </c>
      <c r="HJE335" s="301" t="s">
        <v>470</v>
      </c>
      <c r="HJF335" s="301" t="s">
        <v>470</v>
      </c>
      <c r="HJG335" s="301" t="s">
        <v>470</v>
      </c>
      <c r="HJH335" s="301" t="s">
        <v>470</v>
      </c>
      <c r="HJI335" s="301" t="s">
        <v>470</v>
      </c>
      <c r="HJJ335" s="301" t="s">
        <v>470</v>
      </c>
      <c r="HJK335" s="301" t="s">
        <v>470</v>
      </c>
      <c r="HJL335" s="301" t="s">
        <v>470</v>
      </c>
      <c r="HJM335" s="301" t="s">
        <v>470</v>
      </c>
      <c r="HJN335" s="301" t="s">
        <v>470</v>
      </c>
      <c r="HJO335" s="301" t="s">
        <v>470</v>
      </c>
      <c r="HJP335" s="301" t="s">
        <v>470</v>
      </c>
      <c r="HJQ335" s="301" t="s">
        <v>470</v>
      </c>
      <c r="HJR335" s="301" t="s">
        <v>470</v>
      </c>
      <c r="HJS335" s="301" t="s">
        <v>470</v>
      </c>
      <c r="HJT335" s="301" t="s">
        <v>470</v>
      </c>
      <c r="HJU335" s="301" t="s">
        <v>470</v>
      </c>
      <c r="HJV335" s="301" t="s">
        <v>470</v>
      </c>
      <c r="HJW335" s="301" t="s">
        <v>470</v>
      </c>
      <c r="HJX335" s="301" t="s">
        <v>470</v>
      </c>
      <c r="HJY335" s="301" t="s">
        <v>470</v>
      </c>
      <c r="HJZ335" s="301" t="s">
        <v>470</v>
      </c>
      <c r="HKA335" s="301" t="s">
        <v>470</v>
      </c>
      <c r="HKB335" s="301" t="s">
        <v>470</v>
      </c>
      <c r="HKC335" s="301" t="s">
        <v>470</v>
      </c>
      <c r="HKD335" s="301" t="s">
        <v>470</v>
      </c>
      <c r="HKE335" s="301" t="s">
        <v>470</v>
      </c>
      <c r="HKF335" s="301" t="s">
        <v>470</v>
      </c>
      <c r="HKG335" s="301" t="s">
        <v>470</v>
      </c>
      <c r="HKH335" s="301" t="s">
        <v>470</v>
      </c>
      <c r="HKI335" s="301" t="s">
        <v>470</v>
      </c>
      <c r="HKJ335" s="301" t="s">
        <v>470</v>
      </c>
      <c r="HKK335" s="301" t="s">
        <v>470</v>
      </c>
      <c r="HKL335" s="301" t="s">
        <v>470</v>
      </c>
      <c r="HKM335" s="301" t="s">
        <v>470</v>
      </c>
      <c r="HKN335" s="301" t="s">
        <v>470</v>
      </c>
      <c r="HKO335" s="301" t="s">
        <v>470</v>
      </c>
      <c r="HKP335" s="301" t="s">
        <v>470</v>
      </c>
      <c r="HKQ335" s="301" t="s">
        <v>470</v>
      </c>
      <c r="HKR335" s="301" t="s">
        <v>470</v>
      </c>
      <c r="HKS335" s="301" t="s">
        <v>470</v>
      </c>
      <c r="HKT335" s="301" t="s">
        <v>470</v>
      </c>
      <c r="HKU335" s="301" t="s">
        <v>470</v>
      </c>
      <c r="HKV335" s="301" t="s">
        <v>470</v>
      </c>
      <c r="HKW335" s="301" t="s">
        <v>470</v>
      </c>
      <c r="HKX335" s="301" t="s">
        <v>470</v>
      </c>
      <c r="HKY335" s="301" t="s">
        <v>470</v>
      </c>
      <c r="HKZ335" s="301" t="s">
        <v>470</v>
      </c>
      <c r="HLA335" s="301" t="s">
        <v>470</v>
      </c>
      <c r="HLB335" s="301" t="s">
        <v>470</v>
      </c>
      <c r="HLC335" s="301" t="s">
        <v>470</v>
      </c>
      <c r="HLD335" s="301" t="s">
        <v>470</v>
      </c>
      <c r="HLE335" s="301" t="s">
        <v>470</v>
      </c>
      <c r="HLF335" s="301" t="s">
        <v>470</v>
      </c>
      <c r="HLG335" s="301" t="s">
        <v>470</v>
      </c>
      <c r="HLH335" s="301" t="s">
        <v>470</v>
      </c>
      <c r="HLI335" s="301" t="s">
        <v>470</v>
      </c>
      <c r="HLJ335" s="301" t="s">
        <v>470</v>
      </c>
      <c r="HLK335" s="301" t="s">
        <v>470</v>
      </c>
      <c r="HLL335" s="301" t="s">
        <v>470</v>
      </c>
      <c r="HLM335" s="301" t="s">
        <v>470</v>
      </c>
      <c r="HLN335" s="301" t="s">
        <v>470</v>
      </c>
      <c r="HLO335" s="301" t="s">
        <v>470</v>
      </c>
      <c r="HLP335" s="301" t="s">
        <v>470</v>
      </c>
      <c r="HLQ335" s="301" t="s">
        <v>470</v>
      </c>
      <c r="HLR335" s="301" t="s">
        <v>470</v>
      </c>
      <c r="HLS335" s="301" t="s">
        <v>470</v>
      </c>
      <c r="HLT335" s="301" t="s">
        <v>470</v>
      </c>
      <c r="HLU335" s="301" t="s">
        <v>470</v>
      </c>
      <c r="HLV335" s="301" t="s">
        <v>470</v>
      </c>
      <c r="HLW335" s="301" t="s">
        <v>470</v>
      </c>
      <c r="HLX335" s="301" t="s">
        <v>470</v>
      </c>
      <c r="HLY335" s="301" t="s">
        <v>470</v>
      </c>
      <c r="HLZ335" s="301" t="s">
        <v>470</v>
      </c>
      <c r="HMA335" s="301" t="s">
        <v>470</v>
      </c>
      <c r="HMB335" s="301" t="s">
        <v>470</v>
      </c>
      <c r="HMC335" s="301" t="s">
        <v>470</v>
      </c>
      <c r="HMD335" s="301" t="s">
        <v>470</v>
      </c>
      <c r="HME335" s="301" t="s">
        <v>470</v>
      </c>
      <c r="HMF335" s="301" t="s">
        <v>470</v>
      </c>
      <c r="HMG335" s="301" t="s">
        <v>470</v>
      </c>
      <c r="HMH335" s="301" t="s">
        <v>470</v>
      </c>
      <c r="HMI335" s="301" t="s">
        <v>470</v>
      </c>
      <c r="HMJ335" s="301" t="s">
        <v>470</v>
      </c>
      <c r="HMK335" s="301" t="s">
        <v>470</v>
      </c>
      <c r="HML335" s="301" t="s">
        <v>470</v>
      </c>
      <c r="HMM335" s="301" t="s">
        <v>470</v>
      </c>
      <c r="HMN335" s="301" t="s">
        <v>470</v>
      </c>
      <c r="HMO335" s="301" t="s">
        <v>470</v>
      </c>
      <c r="HMP335" s="301" t="s">
        <v>470</v>
      </c>
      <c r="HMQ335" s="301" t="s">
        <v>470</v>
      </c>
      <c r="HMR335" s="301" t="s">
        <v>470</v>
      </c>
      <c r="HMS335" s="301" t="s">
        <v>470</v>
      </c>
      <c r="HMT335" s="301" t="s">
        <v>470</v>
      </c>
      <c r="HMU335" s="301" t="s">
        <v>470</v>
      </c>
      <c r="HMV335" s="301" t="s">
        <v>470</v>
      </c>
      <c r="HMW335" s="301" t="s">
        <v>470</v>
      </c>
      <c r="HMX335" s="301" t="s">
        <v>470</v>
      </c>
      <c r="HMY335" s="301" t="s">
        <v>470</v>
      </c>
      <c r="HMZ335" s="301" t="s">
        <v>470</v>
      </c>
      <c r="HNA335" s="301" t="s">
        <v>470</v>
      </c>
      <c r="HNB335" s="301" t="s">
        <v>470</v>
      </c>
      <c r="HNC335" s="301" t="s">
        <v>470</v>
      </c>
      <c r="HND335" s="301" t="s">
        <v>470</v>
      </c>
      <c r="HNE335" s="301" t="s">
        <v>470</v>
      </c>
      <c r="HNF335" s="301" t="s">
        <v>470</v>
      </c>
      <c r="HNG335" s="301" t="s">
        <v>470</v>
      </c>
      <c r="HNH335" s="301" t="s">
        <v>470</v>
      </c>
      <c r="HNI335" s="301" t="s">
        <v>470</v>
      </c>
      <c r="HNJ335" s="301" t="s">
        <v>470</v>
      </c>
      <c r="HNK335" s="301" t="s">
        <v>470</v>
      </c>
      <c r="HNL335" s="301" t="s">
        <v>470</v>
      </c>
      <c r="HNM335" s="301" t="s">
        <v>470</v>
      </c>
      <c r="HNN335" s="301" t="s">
        <v>470</v>
      </c>
      <c r="HNO335" s="301" t="s">
        <v>470</v>
      </c>
      <c r="HNP335" s="301" t="s">
        <v>470</v>
      </c>
      <c r="HNQ335" s="301" t="s">
        <v>470</v>
      </c>
      <c r="HNR335" s="301" t="s">
        <v>470</v>
      </c>
      <c r="HNS335" s="301" t="s">
        <v>470</v>
      </c>
      <c r="HNT335" s="301" t="s">
        <v>470</v>
      </c>
      <c r="HNU335" s="301" t="s">
        <v>470</v>
      </c>
      <c r="HNV335" s="301" t="s">
        <v>470</v>
      </c>
      <c r="HNW335" s="301" t="s">
        <v>470</v>
      </c>
      <c r="HNX335" s="301" t="s">
        <v>470</v>
      </c>
      <c r="HNY335" s="301" t="s">
        <v>470</v>
      </c>
      <c r="HNZ335" s="301" t="s">
        <v>470</v>
      </c>
      <c r="HOA335" s="301" t="s">
        <v>470</v>
      </c>
      <c r="HOB335" s="301" t="s">
        <v>470</v>
      </c>
      <c r="HOC335" s="301" t="s">
        <v>470</v>
      </c>
      <c r="HOD335" s="301" t="s">
        <v>470</v>
      </c>
      <c r="HOE335" s="301" t="s">
        <v>470</v>
      </c>
      <c r="HOF335" s="301" t="s">
        <v>470</v>
      </c>
      <c r="HOG335" s="301" t="s">
        <v>470</v>
      </c>
      <c r="HOH335" s="301" t="s">
        <v>470</v>
      </c>
      <c r="HOI335" s="301" t="s">
        <v>470</v>
      </c>
      <c r="HOJ335" s="301" t="s">
        <v>470</v>
      </c>
      <c r="HOK335" s="301" t="s">
        <v>470</v>
      </c>
      <c r="HOL335" s="301" t="s">
        <v>470</v>
      </c>
      <c r="HOM335" s="301" t="s">
        <v>470</v>
      </c>
      <c r="HON335" s="301" t="s">
        <v>470</v>
      </c>
      <c r="HOO335" s="301" t="s">
        <v>470</v>
      </c>
      <c r="HOP335" s="301" t="s">
        <v>470</v>
      </c>
      <c r="HOQ335" s="301" t="s">
        <v>470</v>
      </c>
      <c r="HOR335" s="301" t="s">
        <v>470</v>
      </c>
      <c r="HOS335" s="301" t="s">
        <v>470</v>
      </c>
      <c r="HOT335" s="301" t="s">
        <v>470</v>
      </c>
      <c r="HOU335" s="301" t="s">
        <v>470</v>
      </c>
      <c r="HOV335" s="301" t="s">
        <v>470</v>
      </c>
      <c r="HOW335" s="301" t="s">
        <v>470</v>
      </c>
      <c r="HOX335" s="301" t="s">
        <v>470</v>
      </c>
      <c r="HOY335" s="301" t="s">
        <v>470</v>
      </c>
      <c r="HOZ335" s="301" t="s">
        <v>470</v>
      </c>
      <c r="HPA335" s="301" t="s">
        <v>470</v>
      </c>
      <c r="HPB335" s="301" t="s">
        <v>470</v>
      </c>
      <c r="HPC335" s="301" t="s">
        <v>470</v>
      </c>
      <c r="HPD335" s="301" t="s">
        <v>470</v>
      </c>
      <c r="HPE335" s="301" t="s">
        <v>470</v>
      </c>
      <c r="HPF335" s="301" t="s">
        <v>470</v>
      </c>
      <c r="HPG335" s="301" t="s">
        <v>470</v>
      </c>
      <c r="HPH335" s="301" t="s">
        <v>470</v>
      </c>
      <c r="HPI335" s="301" t="s">
        <v>470</v>
      </c>
      <c r="HPJ335" s="301" t="s">
        <v>470</v>
      </c>
      <c r="HPK335" s="301" t="s">
        <v>470</v>
      </c>
      <c r="HPL335" s="301" t="s">
        <v>470</v>
      </c>
      <c r="HPM335" s="301" t="s">
        <v>470</v>
      </c>
      <c r="HPN335" s="301" t="s">
        <v>470</v>
      </c>
      <c r="HPO335" s="301" t="s">
        <v>470</v>
      </c>
      <c r="HPP335" s="301" t="s">
        <v>470</v>
      </c>
      <c r="HPQ335" s="301" t="s">
        <v>470</v>
      </c>
      <c r="HPR335" s="301" t="s">
        <v>470</v>
      </c>
      <c r="HPS335" s="301" t="s">
        <v>470</v>
      </c>
      <c r="HPT335" s="301" t="s">
        <v>470</v>
      </c>
      <c r="HPU335" s="301" t="s">
        <v>470</v>
      </c>
      <c r="HPV335" s="301" t="s">
        <v>470</v>
      </c>
      <c r="HPW335" s="301" t="s">
        <v>470</v>
      </c>
      <c r="HPX335" s="301" t="s">
        <v>470</v>
      </c>
      <c r="HPY335" s="301" t="s">
        <v>470</v>
      </c>
      <c r="HPZ335" s="301" t="s">
        <v>470</v>
      </c>
      <c r="HQA335" s="301" t="s">
        <v>470</v>
      </c>
      <c r="HQB335" s="301" t="s">
        <v>470</v>
      </c>
      <c r="HQC335" s="301" t="s">
        <v>470</v>
      </c>
      <c r="HQD335" s="301" t="s">
        <v>470</v>
      </c>
      <c r="HQE335" s="301" t="s">
        <v>470</v>
      </c>
      <c r="HQF335" s="301" t="s">
        <v>470</v>
      </c>
      <c r="HQG335" s="301" t="s">
        <v>470</v>
      </c>
      <c r="HQH335" s="301" t="s">
        <v>470</v>
      </c>
      <c r="HQI335" s="301" t="s">
        <v>470</v>
      </c>
      <c r="HQJ335" s="301" t="s">
        <v>470</v>
      </c>
      <c r="HQK335" s="301" t="s">
        <v>470</v>
      </c>
      <c r="HQL335" s="301" t="s">
        <v>470</v>
      </c>
      <c r="HQM335" s="301" t="s">
        <v>470</v>
      </c>
      <c r="HQN335" s="301" t="s">
        <v>470</v>
      </c>
      <c r="HQO335" s="301" t="s">
        <v>470</v>
      </c>
      <c r="HQP335" s="301" t="s">
        <v>470</v>
      </c>
      <c r="HQQ335" s="301" t="s">
        <v>470</v>
      </c>
      <c r="HQR335" s="301" t="s">
        <v>470</v>
      </c>
      <c r="HQS335" s="301" t="s">
        <v>470</v>
      </c>
      <c r="HQT335" s="301" t="s">
        <v>470</v>
      </c>
      <c r="HQU335" s="301" t="s">
        <v>470</v>
      </c>
      <c r="HQV335" s="301" t="s">
        <v>470</v>
      </c>
      <c r="HQW335" s="301" t="s">
        <v>470</v>
      </c>
      <c r="HQX335" s="301" t="s">
        <v>470</v>
      </c>
      <c r="HQY335" s="301" t="s">
        <v>470</v>
      </c>
      <c r="HQZ335" s="301" t="s">
        <v>470</v>
      </c>
      <c r="HRA335" s="301" t="s">
        <v>470</v>
      </c>
      <c r="HRB335" s="301" t="s">
        <v>470</v>
      </c>
      <c r="HRC335" s="301" t="s">
        <v>470</v>
      </c>
      <c r="HRD335" s="301" t="s">
        <v>470</v>
      </c>
      <c r="HRE335" s="301" t="s">
        <v>470</v>
      </c>
      <c r="HRF335" s="301" t="s">
        <v>470</v>
      </c>
      <c r="HRG335" s="301" t="s">
        <v>470</v>
      </c>
      <c r="HRH335" s="301" t="s">
        <v>470</v>
      </c>
      <c r="HRI335" s="301" t="s">
        <v>470</v>
      </c>
      <c r="HRJ335" s="301" t="s">
        <v>470</v>
      </c>
      <c r="HRK335" s="301" t="s">
        <v>470</v>
      </c>
      <c r="HRL335" s="301" t="s">
        <v>470</v>
      </c>
      <c r="HRM335" s="301" t="s">
        <v>470</v>
      </c>
      <c r="HRN335" s="301" t="s">
        <v>470</v>
      </c>
      <c r="HRO335" s="301" t="s">
        <v>470</v>
      </c>
      <c r="HRP335" s="301" t="s">
        <v>470</v>
      </c>
      <c r="HRQ335" s="301" t="s">
        <v>470</v>
      </c>
      <c r="HRR335" s="301" t="s">
        <v>470</v>
      </c>
      <c r="HRS335" s="301" t="s">
        <v>470</v>
      </c>
      <c r="HRT335" s="301" t="s">
        <v>470</v>
      </c>
      <c r="HRU335" s="301" t="s">
        <v>470</v>
      </c>
      <c r="HRV335" s="301" t="s">
        <v>470</v>
      </c>
      <c r="HRW335" s="301" t="s">
        <v>470</v>
      </c>
      <c r="HRX335" s="301" t="s">
        <v>470</v>
      </c>
      <c r="HRY335" s="301" t="s">
        <v>470</v>
      </c>
      <c r="HRZ335" s="301" t="s">
        <v>470</v>
      </c>
      <c r="HSA335" s="301" t="s">
        <v>470</v>
      </c>
      <c r="HSB335" s="301" t="s">
        <v>470</v>
      </c>
      <c r="HSC335" s="301" t="s">
        <v>470</v>
      </c>
      <c r="HSD335" s="301" t="s">
        <v>470</v>
      </c>
      <c r="HSE335" s="301" t="s">
        <v>470</v>
      </c>
      <c r="HSF335" s="301" t="s">
        <v>470</v>
      </c>
      <c r="HSG335" s="301" t="s">
        <v>470</v>
      </c>
      <c r="HSH335" s="301" t="s">
        <v>470</v>
      </c>
      <c r="HSI335" s="301" t="s">
        <v>470</v>
      </c>
      <c r="HSJ335" s="301" t="s">
        <v>470</v>
      </c>
      <c r="HSK335" s="301" t="s">
        <v>470</v>
      </c>
      <c r="HSL335" s="301" t="s">
        <v>470</v>
      </c>
      <c r="HSM335" s="301" t="s">
        <v>470</v>
      </c>
      <c r="HSN335" s="301" t="s">
        <v>470</v>
      </c>
      <c r="HSO335" s="301" t="s">
        <v>470</v>
      </c>
      <c r="HSP335" s="301" t="s">
        <v>470</v>
      </c>
      <c r="HSQ335" s="301" t="s">
        <v>470</v>
      </c>
      <c r="HSR335" s="301" t="s">
        <v>470</v>
      </c>
      <c r="HSS335" s="301" t="s">
        <v>470</v>
      </c>
      <c r="HST335" s="301" t="s">
        <v>470</v>
      </c>
      <c r="HSU335" s="301" t="s">
        <v>470</v>
      </c>
      <c r="HSV335" s="301" t="s">
        <v>470</v>
      </c>
      <c r="HSW335" s="301" t="s">
        <v>470</v>
      </c>
      <c r="HSX335" s="301" t="s">
        <v>470</v>
      </c>
      <c r="HSY335" s="301" t="s">
        <v>470</v>
      </c>
      <c r="HSZ335" s="301" t="s">
        <v>470</v>
      </c>
      <c r="HTA335" s="301" t="s">
        <v>470</v>
      </c>
      <c r="HTB335" s="301" t="s">
        <v>470</v>
      </c>
      <c r="HTC335" s="301" t="s">
        <v>470</v>
      </c>
      <c r="HTD335" s="301" t="s">
        <v>470</v>
      </c>
      <c r="HTE335" s="301" t="s">
        <v>470</v>
      </c>
      <c r="HTF335" s="301" t="s">
        <v>470</v>
      </c>
      <c r="HTG335" s="301" t="s">
        <v>470</v>
      </c>
      <c r="HTH335" s="301" t="s">
        <v>470</v>
      </c>
      <c r="HTI335" s="301" t="s">
        <v>470</v>
      </c>
      <c r="HTJ335" s="301" t="s">
        <v>470</v>
      </c>
      <c r="HTK335" s="301" t="s">
        <v>470</v>
      </c>
      <c r="HTL335" s="301" t="s">
        <v>470</v>
      </c>
      <c r="HTM335" s="301" t="s">
        <v>470</v>
      </c>
      <c r="HTN335" s="301" t="s">
        <v>470</v>
      </c>
      <c r="HTO335" s="301" t="s">
        <v>470</v>
      </c>
      <c r="HTP335" s="301" t="s">
        <v>470</v>
      </c>
      <c r="HTQ335" s="301" t="s">
        <v>470</v>
      </c>
      <c r="HTR335" s="301" t="s">
        <v>470</v>
      </c>
      <c r="HTS335" s="301" t="s">
        <v>470</v>
      </c>
      <c r="HTT335" s="301" t="s">
        <v>470</v>
      </c>
      <c r="HTU335" s="301" t="s">
        <v>470</v>
      </c>
      <c r="HTV335" s="301" t="s">
        <v>470</v>
      </c>
      <c r="HTW335" s="301" t="s">
        <v>470</v>
      </c>
      <c r="HTX335" s="301" t="s">
        <v>470</v>
      </c>
      <c r="HTY335" s="301" t="s">
        <v>470</v>
      </c>
      <c r="HTZ335" s="301" t="s">
        <v>470</v>
      </c>
      <c r="HUA335" s="301" t="s">
        <v>470</v>
      </c>
      <c r="HUB335" s="301" t="s">
        <v>470</v>
      </c>
      <c r="HUC335" s="301" t="s">
        <v>470</v>
      </c>
      <c r="HUD335" s="301" t="s">
        <v>470</v>
      </c>
      <c r="HUE335" s="301" t="s">
        <v>470</v>
      </c>
      <c r="HUF335" s="301" t="s">
        <v>470</v>
      </c>
      <c r="HUG335" s="301" t="s">
        <v>470</v>
      </c>
      <c r="HUH335" s="301" t="s">
        <v>470</v>
      </c>
      <c r="HUI335" s="301" t="s">
        <v>470</v>
      </c>
      <c r="HUJ335" s="301" t="s">
        <v>470</v>
      </c>
      <c r="HUK335" s="301" t="s">
        <v>470</v>
      </c>
      <c r="HUL335" s="301" t="s">
        <v>470</v>
      </c>
      <c r="HUM335" s="301" t="s">
        <v>470</v>
      </c>
      <c r="HUN335" s="301" t="s">
        <v>470</v>
      </c>
      <c r="HUO335" s="301" t="s">
        <v>470</v>
      </c>
      <c r="HUP335" s="301" t="s">
        <v>470</v>
      </c>
      <c r="HUQ335" s="301" t="s">
        <v>470</v>
      </c>
      <c r="HUR335" s="301" t="s">
        <v>470</v>
      </c>
      <c r="HUS335" s="301" t="s">
        <v>470</v>
      </c>
      <c r="HUT335" s="301" t="s">
        <v>470</v>
      </c>
      <c r="HUU335" s="301" t="s">
        <v>470</v>
      </c>
      <c r="HUV335" s="301" t="s">
        <v>470</v>
      </c>
      <c r="HUW335" s="301" t="s">
        <v>470</v>
      </c>
      <c r="HUX335" s="301" t="s">
        <v>470</v>
      </c>
      <c r="HUY335" s="301" t="s">
        <v>470</v>
      </c>
      <c r="HUZ335" s="301" t="s">
        <v>470</v>
      </c>
      <c r="HVA335" s="301" t="s">
        <v>470</v>
      </c>
      <c r="HVB335" s="301" t="s">
        <v>470</v>
      </c>
      <c r="HVC335" s="301" t="s">
        <v>470</v>
      </c>
      <c r="HVD335" s="301" t="s">
        <v>470</v>
      </c>
      <c r="HVE335" s="301" t="s">
        <v>470</v>
      </c>
      <c r="HVF335" s="301" t="s">
        <v>470</v>
      </c>
      <c r="HVG335" s="301" t="s">
        <v>470</v>
      </c>
      <c r="HVH335" s="301" t="s">
        <v>470</v>
      </c>
      <c r="HVI335" s="301" t="s">
        <v>470</v>
      </c>
      <c r="HVJ335" s="301" t="s">
        <v>470</v>
      </c>
      <c r="HVK335" s="301" t="s">
        <v>470</v>
      </c>
      <c r="HVL335" s="301" t="s">
        <v>470</v>
      </c>
      <c r="HVM335" s="301" t="s">
        <v>470</v>
      </c>
      <c r="HVN335" s="301" t="s">
        <v>470</v>
      </c>
      <c r="HVO335" s="301" t="s">
        <v>470</v>
      </c>
      <c r="HVP335" s="301" t="s">
        <v>470</v>
      </c>
      <c r="HVQ335" s="301" t="s">
        <v>470</v>
      </c>
      <c r="HVR335" s="301" t="s">
        <v>470</v>
      </c>
      <c r="HVS335" s="301" t="s">
        <v>470</v>
      </c>
      <c r="HVT335" s="301" t="s">
        <v>470</v>
      </c>
      <c r="HVU335" s="301" t="s">
        <v>470</v>
      </c>
      <c r="HVV335" s="301" t="s">
        <v>470</v>
      </c>
      <c r="HVW335" s="301" t="s">
        <v>470</v>
      </c>
      <c r="HVX335" s="301" t="s">
        <v>470</v>
      </c>
      <c r="HVY335" s="301" t="s">
        <v>470</v>
      </c>
      <c r="HVZ335" s="301" t="s">
        <v>470</v>
      </c>
      <c r="HWA335" s="301" t="s">
        <v>470</v>
      </c>
      <c r="HWB335" s="301" t="s">
        <v>470</v>
      </c>
      <c r="HWC335" s="301" t="s">
        <v>470</v>
      </c>
      <c r="HWD335" s="301" t="s">
        <v>470</v>
      </c>
      <c r="HWE335" s="301" t="s">
        <v>470</v>
      </c>
      <c r="HWF335" s="301" t="s">
        <v>470</v>
      </c>
      <c r="HWG335" s="301" t="s">
        <v>470</v>
      </c>
      <c r="HWH335" s="301" t="s">
        <v>470</v>
      </c>
      <c r="HWI335" s="301" t="s">
        <v>470</v>
      </c>
      <c r="HWJ335" s="301" t="s">
        <v>470</v>
      </c>
      <c r="HWK335" s="301" t="s">
        <v>470</v>
      </c>
      <c r="HWL335" s="301" t="s">
        <v>470</v>
      </c>
      <c r="HWM335" s="301" t="s">
        <v>470</v>
      </c>
      <c r="HWN335" s="301" t="s">
        <v>470</v>
      </c>
      <c r="HWO335" s="301" t="s">
        <v>470</v>
      </c>
      <c r="HWP335" s="301" t="s">
        <v>470</v>
      </c>
      <c r="HWQ335" s="301" t="s">
        <v>470</v>
      </c>
      <c r="HWR335" s="301" t="s">
        <v>470</v>
      </c>
      <c r="HWS335" s="301" t="s">
        <v>470</v>
      </c>
      <c r="HWT335" s="301" t="s">
        <v>470</v>
      </c>
      <c r="HWU335" s="301" t="s">
        <v>470</v>
      </c>
      <c r="HWV335" s="301" t="s">
        <v>470</v>
      </c>
      <c r="HWW335" s="301" t="s">
        <v>470</v>
      </c>
      <c r="HWX335" s="301" t="s">
        <v>470</v>
      </c>
      <c r="HWY335" s="301" t="s">
        <v>470</v>
      </c>
      <c r="HWZ335" s="301" t="s">
        <v>470</v>
      </c>
      <c r="HXA335" s="301" t="s">
        <v>470</v>
      </c>
      <c r="HXB335" s="301" t="s">
        <v>470</v>
      </c>
      <c r="HXC335" s="301" t="s">
        <v>470</v>
      </c>
      <c r="HXD335" s="301" t="s">
        <v>470</v>
      </c>
      <c r="HXE335" s="301" t="s">
        <v>470</v>
      </c>
      <c r="HXF335" s="301" t="s">
        <v>470</v>
      </c>
      <c r="HXG335" s="301" t="s">
        <v>470</v>
      </c>
      <c r="HXH335" s="301" t="s">
        <v>470</v>
      </c>
      <c r="HXI335" s="301" t="s">
        <v>470</v>
      </c>
      <c r="HXJ335" s="301" t="s">
        <v>470</v>
      </c>
      <c r="HXK335" s="301" t="s">
        <v>470</v>
      </c>
      <c r="HXL335" s="301" t="s">
        <v>470</v>
      </c>
      <c r="HXM335" s="301" t="s">
        <v>470</v>
      </c>
      <c r="HXN335" s="301" t="s">
        <v>470</v>
      </c>
      <c r="HXO335" s="301" t="s">
        <v>470</v>
      </c>
      <c r="HXP335" s="301" t="s">
        <v>470</v>
      </c>
      <c r="HXQ335" s="301" t="s">
        <v>470</v>
      </c>
      <c r="HXR335" s="301" t="s">
        <v>470</v>
      </c>
      <c r="HXS335" s="301" t="s">
        <v>470</v>
      </c>
      <c r="HXT335" s="301" t="s">
        <v>470</v>
      </c>
      <c r="HXU335" s="301" t="s">
        <v>470</v>
      </c>
      <c r="HXV335" s="301" t="s">
        <v>470</v>
      </c>
      <c r="HXW335" s="301" t="s">
        <v>470</v>
      </c>
      <c r="HXX335" s="301" t="s">
        <v>470</v>
      </c>
      <c r="HXY335" s="301" t="s">
        <v>470</v>
      </c>
      <c r="HXZ335" s="301" t="s">
        <v>470</v>
      </c>
      <c r="HYA335" s="301" t="s">
        <v>470</v>
      </c>
      <c r="HYB335" s="301" t="s">
        <v>470</v>
      </c>
      <c r="HYC335" s="301" t="s">
        <v>470</v>
      </c>
      <c r="HYD335" s="301" t="s">
        <v>470</v>
      </c>
      <c r="HYE335" s="301" t="s">
        <v>470</v>
      </c>
      <c r="HYF335" s="301" t="s">
        <v>470</v>
      </c>
      <c r="HYG335" s="301" t="s">
        <v>470</v>
      </c>
      <c r="HYH335" s="301" t="s">
        <v>470</v>
      </c>
      <c r="HYI335" s="301" t="s">
        <v>470</v>
      </c>
      <c r="HYJ335" s="301" t="s">
        <v>470</v>
      </c>
      <c r="HYK335" s="301" t="s">
        <v>470</v>
      </c>
      <c r="HYL335" s="301" t="s">
        <v>470</v>
      </c>
      <c r="HYM335" s="301" t="s">
        <v>470</v>
      </c>
      <c r="HYN335" s="301" t="s">
        <v>470</v>
      </c>
      <c r="HYO335" s="301" t="s">
        <v>470</v>
      </c>
      <c r="HYP335" s="301" t="s">
        <v>470</v>
      </c>
      <c r="HYQ335" s="301" t="s">
        <v>470</v>
      </c>
      <c r="HYR335" s="301" t="s">
        <v>470</v>
      </c>
      <c r="HYS335" s="301" t="s">
        <v>470</v>
      </c>
      <c r="HYT335" s="301" t="s">
        <v>470</v>
      </c>
      <c r="HYU335" s="301" t="s">
        <v>470</v>
      </c>
      <c r="HYV335" s="301" t="s">
        <v>470</v>
      </c>
      <c r="HYW335" s="301" t="s">
        <v>470</v>
      </c>
      <c r="HYX335" s="301" t="s">
        <v>470</v>
      </c>
      <c r="HYY335" s="301" t="s">
        <v>470</v>
      </c>
      <c r="HYZ335" s="301" t="s">
        <v>470</v>
      </c>
      <c r="HZA335" s="301" t="s">
        <v>470</v>
      </c>
      <c r="HZB335" s="301" t="s">
        <v>470</v>
      </c>
      <c r="HZC335" s="301" t="s">
        <v>470</v>
      </c>
      <c r="HZD335" s="301" t="s">
        <v>470</v>
      </c>
      <c r="HZE335" s="301" t="s">
        <v>470</v>
      </c>
      <c r="HZF335" s="301" t="s">
        <v>470</v>
      </c>
      <c r="HZG335" s="301" t="s">
        <v>470</v>
      </c>
      <c r="HZH335" s="301" t="s">
        <v>470</v>
      </c>
      <c r="HZI335" s="301" t="s">
        <v>470</v>
      </c>
      <c r="HZJ335" s="301" t="s">
        <v>470</v>
      </c>
      <c r="HZK335" s="301" t="s">
        <v>470</v>
      </c>
      <c r="HZL335" s="301" t="s">
        <v>470</v>
      </c>
      <c r="HZM335" s="301" t="s">
        <v>470</v>
      </c>
      <c r="HZN335" s="301" t="s">
        <v>470</v>
      </c>
      <c r="HZO335" s="301" t="s">
        <v>470</v>
      </c>
      <c r="HZP335" s="301" t="s">
        <v>470</v>
      </c>
      <c r="HZQ335" s="301" t="s">
        <v>470</v>
      </c>
      <c r="HZR335" s="301" t="s">
        <v>470</v>
      </c>
      <c r="HZS335" s="301" t="s">
        <v>470</v>
      </c>
      <c r="HZT335" s="301" t="s">
        <v>470</v>
      </c>
      <c r="HZU335" s="301" t="s">
        <v>470</v>
      </c>
      <c r="HZV335" s="301" t="s">
        <v>470</v>
      </c>
      <c r="HZW335" s="301" t="s">
        <v>470</v>
      </c>
      <c r="HZX335" s="301" t="s">
        <v>470</v>
      </c>
      <c r="HZY335" s="301" t="s">
        <v>470</v>
      </c>
      <c r="HZZ335" s="301" t="s">
        <v>470</v>
      </c>
      <c r="IAA335" s="301" t="s">
        <v>470</v>
      </c>
      <c r="IAB335" s="301" t="s">
        <v>470</v>
      </c>
      <c r="IAC335" s="301" t="s">
        <v>470</v>
      </c>
      <c r="IAD335" s="301" t="s">
        <v>470</v>
      </c>
      <c r="IAE335" s="301" t="s">
        <v>470</v>
      </c>
      <c r="IAF335" s="301" t="s">
        <v>470</v>
      </c>
      <c r="IAG335" s="301" t="s">
        <v>470</v>
      </c>
      <c r="IAH335" s="301" t="s">
        <v>470</v>
      </c>
      <c r="IAI335" s="301" t="s">
        <v>470</v>
      </c>
      <c r="IAJ335" s="301" t="s">
        <v>470</v>
      </c>
      <c r="IAK335" s="301" t="s">
        <v>470</v>
      </c>
      <c r="IAL335" s="301" t="s">
        <v>470</v>
      </c>
      <c r="IAM335" s="301" t="s">
        <v>470</v>
      </c>
      <c r="IAN335" s="301" t="s">
        <v>470</v>
      </c>
      <c r="IAO335" s="301" t="s">
        <v>470</v>
      </c>
      <c r="IAP335" s="301" t="s">
        <v>470</v>
      </c>
      <c r="IAQ335" s="301" t="s">
        <v>470</v>
      </c>
      <c r="IAR335" s="301" t="s">
        <v>470</v>
      </c>
      <c r="IAS335" s="301" t="s">
        <v>470</v>
      </c>
      <c r="IAT335" s="301" t="s">
        <v>470</v>
      </c>
      <c r="IAU335" s="301" t="s">
        <v>470</v>
      </c>
      <c r="IAV335" s="301" t="s">
        <v>470</v>
      </c>
      <c r="IAW335" s="301" t="s">
        <v>470</v>
      </c>
      <c r="IAX335" s="301" t="s">
        <v>470</v>
      </c>
      <c r="IAY335" s="301" t="s">
        <v>470</v>
      </c>
      <c r="IAZ335" s="301" t="s">
        <v>470</v>
      </c>
      <c r="IBA335" s="301" t="s">
        <v>470</v>
      </c>
      <c r="IBB335" s="301" t="s">
        <v>470</v>
      </c>
      <c r="IBC335" s="301" t="s">
        <v>470</v>
      </c>
      <c r="IBD335" s="301" t="s">
        <v>470</v>
      </c>
      <c r="IBE335" s="301" t="s">
        <v>470</v>
      </c>
      <c r="IBF335" s="301" t="s">
        <v>470</v>
      </c>
      <c r="IBG335" s="301" t="s">
        <v>470</v>
      </c>
      <c r="IBH335" s="301" t="s">
        <v>470</v>
      </c>
      <c r="IBI335" s="301" t="s">
        <v>470</v>
      </c>
      <c r="IBJ335" s="301" t="s">
        <v>470</v>
      </c>
      <c r="IBK335" s="301" t="s">
        <v>470</v>
      </c>
      <c r="IBL335" s="301" t="s">
        <v>470</v>
      </c>
      <c r="IBM335" s="301" t="s">
        <v>470</v>
      </c>
      <c r="IBN335" s="301" t="s">
        <v>470</v>
      </c>
      <c r="IBO335" s="301" t="s">
        <v>470</v>
      </c>
      <c r="IBP335" s="301" t="s">
        <v>470</v>
      </c>
      <c r="IBQ335" s="301" t="s">
        <v>470</v>
      </c>
      <c r="IBR335" s="301" t="s">
        <v>470</v>
      </c>
      <c r="IBS335" s="301" t="s">
        <v>470</v>
      </c>
      <c r="IBT335" s="301" t="s">
        <v>470</v>
      </c>
      <c r="IBU335" s="301" t="s">
        <v>470</v>
      </c>
      <c r="IBV335" s="301" t="s">
        <v>470</v>
      </c>
      <c r="IBW335" s="301" t="s">
        <v>470</v>
      </c>
      <c r="IBX335" s="301" t="s">
        <v>470</v>
      </c>
      <c r="IBY335" s="301" t="s">
        <v>470</v>
      </c>
      <c r="IBZ335" s="301" t="s">
        <v>470</v>
      </c>
      <c r="ICA335" s="301" t="s">
        <v>470</v>
      </c>
      <c r="ICB335" s="301" t="s">
        <v>470</v>
      </c>
      <c r="ICC335" s="301" t="s">
        <v>470</v>
      </c>
      <c r="ICD335" s="301" t="s">
        <v>470</v>
      </c>
      <c r="ICE335" s="301" t="s">
        <v>470</v>
      </c>
      <c r="ICF335" s="301" t="s">
        <v>470</v>
      </c>
      <c r="ICG335" s="301" t="s">
        <v>470</v>
      </c>
      <c r="ICH335" s="301" t="s">
        <v>470</v>
      </c>
      <c r="ICI335" s="301" t="s">
        <v>470</v>
      </c>
      <c r="ICJ335" s="301" t="s">
        <v>470</v>
      </c>
      <c r="ICK335" s="301" t="s">
        <v>470</v>
      </c>
      <c r="ICL335" s="301" t="s">
        <v>470</v>
      </c>
      <c r="ICM335" s="301" t="s">
        <v>470</v>
      </c>
      <c r="ICN335" s="301" t="s">
        <v>470</v>
      </c>
      <c r="ICO335" s="301" t="s">
        <v>470</v>
      </c>
      <c r="ICP335" s="301" t="s">
        <v>470</v>
      </c>
      <c r="ICQ335" s="301" t="s">
        <v>470</v>
      </c>
      <c r="ICR335" s="301" t="s">
        <v>470</v>
      </c>
      <c r="ICS335" s="301" t="s">
        <v>470</v>
      </c>
      <c r="ICT335" s="301" t="s">
        <v>470</v>
      </c>
      <c r="ICU335" s="301" t="s">
        <v>470</v>
      </c>
      <c r="ICV335" s="301" t="s">
        <v>470</v>
      </c>
      <c r="ICW335" s="301" t="s">
        <v>470</v>
      </c>
      <c r="ICX335" s="301" t="s">
        <v>470</v>
      </c>
      <c r="ICY335" s="301" t="s">
        <v>470</v>
      </c>
      <c r="ICZ335" s="301" t="s">
        <v>470</v>
      </c>
      <c r="IDA335" s="301" t="s">
        <v>470</v>
      </c>
      <c r="IDB335" s="301" t="s">
        <v>470</v>
      </c>
      <c r="IDC335" s="301" t="s">
        <v>470</v>
      </c>
      <c r="IDD335" s="301" t="s">
        <v>470</v>
      </c>
      <c r="IDE335" s="301" t="s">
        <v>470</v>
      </c>
      <c r="IDF335" s="301" t="s">
        <v>470</v>
      </c>
      <c r="IDG335" s="301" t="s">
        <v>470</v>
      </c>
      <c r="IDH335" s="301" t="s">
        <v>470</v>
      </c>
      <c r="IDI335" s="301" t="s">
        <v>470</v>
      </c>
      <c r="IDJ335" s="301" t="s">
        <v>470</v>
      </c>
      <c r="IDK335" s="301" t="s">
        <v>470</v>
      </c>
      <c r="IDL335" s="301" t="s">
        <v>470</v>
      </c>
      <c r="IDM335" s="301" t="s">
        <v>470</v>
      </c>
      <c r="IDN335" s="301" t="s">
        <v>470</v>
      </c>
      <c r="IDO335" s="301" t="s">
        <v>470</v>
      </c>
      <c r="IDP335" s="301" t="s">
        <v>470</v>
      </c>
      <c r="IDQ335" s="301" t="s">
        <v>470</v>
      </c>
      <c r="IDR335" s="301" t="s">
        <v>470</v>
      </c>
      <c r="IDS335" s="301" t="s">
        <v>470</v>
      </c>
      <c r="IDT335" s="301" t="s">
        <v>470</v>
      </c>
      <c r="IDU335" s="301" t="s">
        <v>470</v>
      </c>
      <c r="IDV335" s="301" t="s">
        <v>470</v>
      </c>
      <c r="IDW335" s="301" t="s">
        <v>470</v>
      </c>
      <c r="IDX335" s="301" t="s">
        <v>470</v>
      </c>
      <c r="IDY335" s="301" t="s">
        <v>470</v>
      </c>
      <c r="IDZ335" s="301" t="s">
        <v>470</v>
      </c>
      <c r="IEA335" s="301" t="s">
        <v>470</v>
      </c>
      <c r="IEB335" s="301" t="s">
        <v>470</v>
      </c>
      <c r="IEC335" s="301" t="s">
        <v>470</v>
      </c>
      <c r="IED335" s="301" t="s">
        <v>470</v>
      </c>
      <c r="IEE335" s="301" t="s">
        <v>470</v>
      </c>
      <c r="IEF335" s="301" t="s">
        <v>470</v>
      </c>
      <c r="IEG335" s="301" t="s">
        <v>470</v>
      </c>
      <c r="IEH335" s="301" t="s">
        <v>470</v>
      </c>
      <c r="IEI335" s="301" t="s">
        <v>470</v>
      </c>
      <c r="IEJ335" s="301" t="s">
        <v>470</v>
      </c>
      <c r="IEK335" s="301" t="s">
        <v>470</v>
      </c>
      <c r="IEL335" s="301" t="s">
        <v>470</v>
      </c>
      <c r="IEM335" s="301" t="s">
        <v>470</v>
      </c>
      <c r="IEN335" s="301" t="s">
        <v>470</v>
      </c>
      <c r="IEO335" s="301" t="s">
        <v>470</v>
      </c>
      <c r="IEP335" s="301" t="s">
        <v>470</v>
      </c>
      <c r="IEQ335" s="301" t="s">
        <v>470</v>
      </c>
      <c r="IER335" s="301" t="s">
        <v>470</v>
      </c>
      <c r="IES335" s="301" t="s">
        <v>470</v>
      </c>
      <c r="IET335" s="301" t="s">
        <v>470</v>
      </c>
      <c r="IEU335" s="301" t="s">
        <v>470</v>
      </c>
      <c r="IEV335" s="301" t="s">
        <v>470</v>
      </c>
      <c r="IEW335" s="301" t="s">
        <v>470</v>
      </c>
      <c r="IEX335" s="301" t="s">
        <v>470</v>
      </c>
      <c r="IEY335" s="301" t="s">
        <v>470</v>
      </c>
      <c r="IEZ335" s="301" t="s">
        <v>470</v>
      </c>
      <c r="IFA335" s="301" t="s">
        <v>470</v>
      </c>
      <c r="IFB335" s="301" t="s">
        <v>470</v>
      </c>
      <c r="IFC335" s="301" t="s">
        <v>470</v>
      </c>
      <c r="IFD335" s="301" t="s">
        <v>470</v>
      </c>
      <c r="IFE335" s="301" t="s">
        <v>470</v>
      </c>
      <c r="IFF335" s="301" t="s">
        <v>470</v>
      </c>
      <c r="IFG335" s="301" t="s">
        <v>470</v>
      </c>
      <c r="IFH335" s="301" t="s">
        <v>470</v>
      </c>
      <c r="IFI335" s="301" t="s">
        <v>470</v>
      </c>
      <c r="IFJ335" s="301" t="s">
        <v>470</v>
      </c>
      <c r="IFK335" s="301" t="s">
        <v>470</v>
      </c>
      <c r="IFL335" s="301" t="s">
        <v>470</v>
      </c>
      <c r="IFM335" s="301" t="s">
        <v>470</v>
      </c>
      <c r="IFN335" s="301" t="s">
        <v>470</v>
      </c>
      <c r="IFO335" s="301" t="s">
        <v>470</v>
      </c>
      <c r="IFP335" s="301" t="s">
        <v>470</v>
      </c>
      <c r="IFQ335" s="301" t="s">
        <v>470</v>
      </c>
      <c r="IFR335" s="301" t="s">
        <v>470</v>
      </c>
      <c r="IFS335" s="301" t="s">
        <v>470</v>
      </c>
      <c r="IFT335" s="301" t="s">
        <v>470</v>
      </c>
      <c r="IFU335" s="301" t="s">
        <v>470</v>
      </c>
      <c r="IFV335" s="301" t="s">
        <v>470</v>
      </c>
      <c r="IFW335" s="301" t="s">
        <v>470</v>
      </c>
      <c r="IFX335" s="301" t="s">
        <v>470</v>
      </c>
      <c r="IFY335" s="301" t="s">
        <v>470</v>
      </c>
      <c r="IFZ335" s="301" t="s">
        <v>470</v>
      </c>
      <c r="IGA335" s="301" t="s">
        <v>470</v>
      </c>
      <c r="IGB335" s="301" t="s">
        <v>470</v>
      </c>
      <c r="IGC335" s="301" t="s">
        <v>470</v>
      </c>
      <c r="IGD335" s="301" t="s">
        <v>470</v>
      </c>
      <c r="IGE335" s="301" t="s">
        <v>470</v>
      </c>
      <c r="IGF335" s="301" t="s">
        <v>470</v>
      </c>
      <c r="IGG335" s="301" t="s">
        <v>470</v>
      </c>
      <c r="IGH335" s="301" t="s">
        <v>470</v>
      </c>
      <c r="IGI335" s="301" t="s">
        <v>470</v>
      </c>
      <c r="IGJ335" s="301" t="s">
        <v>470</v>
      </c>
      <c r="IGK335" s="301" t="s">
        <v>470</v>
      </c>
      <c r="IGL335" s="301" t="s">
        <v>470</v>
      </c>
      <c r="IGM335" s="301" t="s">
        <v>470</v>
      </c>
      <c r="IGN335" s="301" t="s">
        <v>470</v>
      </c>
      <c r="IGO335" s="301" t="s">
        <v>470</v>
      </c>
      <c r="IGP335" s="301" t="s">
        <v>470</v>
      </c>
      <c r="IGQ335" s="301" t="s">
        <v>470</v>
      </c>
      <c r="IGR335" s="301" t="s">
        <v>470</v>
      </c>
      <c r="IGS335" s="301" t="s">
        <v>470</v>
      </c>
      <c r="IGT335" s="301" t="s">
        <v>470</v>
      </c>
      <c r="IGU335" s="301" t="s">
        <v>470</v>
      </c>
      <c r="IGV335" s="301" t="s">
        <v>470</v>
      </c>
      <c r="IGW335" s="301" t="s">
        <v>470</v>
      </c>
      <c r="IGX335" s="301" t="s">
        <v>470</v>
      </c>
      <c r="IGY335" s="301" t="s">
        <v>470</v>
      </c>
      <c r="IGZ335" s="301" t="s">
        <v>470</v>
      </c>
      <c r="IHA335" s="301" t="s">
        <v>470</v>
      </c>
      <c r="IHB335" s="301" t="s">
        <v>470</v>
      </c>
      <c r="IHC335" s="301" t="s">
        <v>470</v>
      </c>
      <c r="IHD335" s="301" t="s">
        <v>470</v>
      </c>
      <c r="IHE335" s="301" t="s">
        <v>470</v>
      </c>
      <c r="IHF335" s="301" t="s">
        <v>470</v>
      </c>
      <c r="IHG335" s="301" t="s">
        <v>470</v>
      </c>
      <c r="IHH335" s="301" t="s">
        <v>470</v>
      </c>
      <c r="IHI335" s="301" t="s">
        <v>470</v>
      </c>
      <c r="IHJ335" s="301" t="s">
        <v>470</v>
      </c>
      <c r="IHK335" s="301" t="s">
        <v>470</v>
      </c>
      <c r="IHL335" s="301" t="s">
        <v>470</v>
      </c>
      <c r="IHM335" s="301" t="s">
        <v>470</v>
      </c>
      <c r="IHN335" s="301" t="s">
        <v>470</v>
      </c>
      <c r="IHO335" s="301" t="s">
        <v>470</v>
      </c>
      <c r="IHP335" s="301" t="s">
        <v>470</v>
      </c>
      <c r="IHQ335" s="301" t="s">
        <v>470</v>
      </c>
      <c r="IHR335" s="301" t="s">
        <v>470</v>
      </c>
      <c r="IHS335" s="301" t="s">
        <v>470</v>
      </c>
      <c r="IHT335" s="301" t="s">
        <v>470</v>
      </c>
      <c r="IHU335" s="301" t="s">
        <v>470</v>
      </c>
      <c r="IHV335" s="301" t="s">
        <v>470</v>
      </c>
      <c r="IHW335" s="301" t="s">
        <v>470</v>
      </c>
      <c r="IHX335" s="301" t="s">
        <v>470</v>
      </c>
      <c r="IHY335" s="301" t="s">
        <v>470</v>
      </c>
      <c r="IHZ335" s="301" t="s">
        <v>470</v>
      </c>
      <c r="IIA335" s="301" t="s">
        <v>470</v>
      </c>
      <c r="IIB335" s="301" t="s">
        <v>470</v>
      </c>
      <c r="IIC335" s="301" t="s">
        <v>470</v>
      </c>
      <c r="IID335" s="301" t="s">
        <v>470</v>
      </c>
      <c r="IIE335" s="301" t="s">
        <v>470</v>
      </c>
      <c r="IIF335" s="301" t="s">
        <v>470</v>
      </c>
      <c r="IIG335" s="301" t="s">
        <v>470</v>
      </c>
      <c r="IIH335" s="301" t="s">
        <v>470</v>
      </c>
      <c r="III335" s="301" t="s">
        <v>470</v>
      </c>
      <c r="IIJ335" s="301" t="s">
        <v>470</v>
      </c>
      <c r="IIK335" s="301" t="s">
        <v>470</v>
      </c>
      <c r="IIL335" s="301" t="s">
        <v>470</v>
      </c>
      <c r="IIM335" s="301" t="s">
        <v>470</v>
      </c>
      <c r="IIN335" s="301" t="s">
        <v>470</v>
      </c>
      <c r="IIO335" s="301" t="s">
        <v>470</v>
      </c>
      <c r="IIP335" s="301" t="s">
        <v>470</v>
      </c>
      <c r="IIQ335" s="301" t="s">
        <v>470</v>
      </c>
      <c r="IIR335" s="301" t="s">
        <v>470</v>
      </c>
      <c r="IIS335" s="301" t="s">
        <v>470</v>
      </c>
      <c r="IIT335" s="301" t="s">
        <v>470</v>
      </c>
      <c r="IIU335" s="301" t="s">
        <v>470</v>
      </c>
      <c r="IIV335" s="301" t="s">
        <v>470</v>
      </c>
      <c r="IIW335" s="301" t="s">
        <v>470</v>
      </c>
      <c r="IIX335" s="301" t="s">
        <v>470</v>
      </c>
      <c r="IIY335" s="301" t="s">
        <v>470</v>
      </c>
      <c r="IIZ335" s="301" t="s">
        <v>470</v>
      </c>
      <c r="IJA335" s="301" t="s">
        <v>470</v>
      </c>
      <c r="IJB335" s="301" t="s">
        <v>470</v>
      </c>
      <c r="IJC335" s="301" t="s">
        <v>470</v>
      </c>
      <c r="IJD335" s="301" t="s">
        <v>470</v>
      </c>
      <c r="IJE335" s="301" t="s">
        <v>470</v>
      </c>
      <c r="IJF335" s="301" t="s">
        <v>470</v>
      </c>
      <c r="IJG335" s="301" t="s">
        <v>470</v>
      </c>
      <c r="IJH335" s="301" t="s">
        <v>470</v>
      </c>
      <c r="IJI335" s="301" t="s">
        <v>470</v>
      </c>
      <c r="IJJ335" s="301" t="s">
        <v>470</v>
      </c>
      <c r="IJK335" s="301" t="s">
        <v>470</v>
      </c>
      <c r="IJL335" s="301" t="s">
        <v>470</v>
      </c>
      <c r="IJM335" s="301" t="s">
        <v>470</v>
      </c>
      <c r="IJN335" s="301" t="s">
        <v>470</v>
      </c>
      <c r="IJO335" s="301" t="s">
        <v>470</v>
      </c>
      <c r="IJP335" s="301" t="s">
        <v>470</v>
      </c>
      <c r="IJQ335" s="301" t="s">
        <v>470</v>
      </c>
      <c r="IJR335" s="301" t="s">
        <v>470</v>
      </c>
      <c r="IJS335" s="301" t="s">
        <v>470</v>
      </c>
      <c r="IJT335" s="301" t="s">
        <v>470</v>
      </c>
      <c r="IJU335" s="301" t="s">
        <v>470</v>
      </c>
      <c r="IJV335" s="301" t="s">
        <v>470</v>
      </c>
      <c r="IJW335" s="301" t="s">
        <v>470</v>
      </c>
      <c r="IJX335" s="301" t="s">
        <v>470</v>
      </c>
      <c r="IJY335" s="301" t="s">
        <v>470</v>
      </c>
      <c r="IJZ335" s="301" t="s">
        <v>470</v>
      </c>
      <c r="IKA335" s="301" t="s">
        <v>470</v>
      </c>
      <c r="IKB335" s="301" t="s">
        <v>470</v>
      </c>
      <c r="IKC335" s="301" t="s">
        <v>470</v>
      </c>
      <c r="IKD335" s="301" t="s">
        <v>470</v>
      </c>
      <c r="IKE335" s="301" t="s">
        <v>470</v>
      </c>
      <c r="IKF335" s="301" t="s">
        <v>470</v>
      </c>
      <c r="IKG335" s="301" t="s">
        <v>470</v>
      </c>
      <c r="IKH335" s="301" t="s">
        <v>470</v>
      </c>
      <c r="IKI335" s="301" t="s">
        <v>470</v>
      </c>
      <c r="IKJ335" s="301" t="s">
        <v>470</v>
      </c>
      <c r="IKK335" s="301" t="s">
        <v>470</v>
      </c>
      <c r="IKL335" s="301" t="s">
        <v>470</v>
      </c>
      <c r="IKM335" s="301" t="s">
        <v>470</v>
      </c>
      <c r="IKN335" s="301" t="s">
        <v>470</v>
      </c>
      <c r="IKO335" s="301" t="s">
        <v>470</v>
      </c>
      <c r="IKP335" s="301" t="s">
        <v>470</v>
      </c>
      <c r="IKQ335" s="301" t="s">
        <v>470</v>
      </c>
      <c r="IKR335" s="301" t="s">
        <v>470</v>
      </c>
      <c r="IKS335" s="301" t="s">
        <v>470</v>
      </c>
      <c r="IKT335" s="301" t="s">
        <v>470</v>
      </c>
      <c r="IKU335" s="301" t="s">
        <v>470</v>
      </c>
      <c r="IKV335" s="301" t="s">
        <v>470</v>
      </c>
      <c r="IKW335" s="301" t="s">
        <v>470</v>
      </c>
      <c r="IKX335" s="301" t="s">
        <v>470</v>
      </c>
      <c r="IKY335" s="301" t="s">
        <v>470</v>
      </c>
      <c r="IKZ335" s="301" t="s">
        <v>470</v>
      </c>
      <c r="ILA335" s="301" t="s">
        <v>470</v>
      </c>
      <c r="ILB335" s="301" t="s">
        <v>470</v>
      </c>
      <c r="ILC335" s="301" t="s">
        <v>470</v>
      </c>
      <c r="ILD335" s="301" t="s">
        <v>470</v>
      </c>
      <c r="ILE335" s="301" t="s">
        <v>470</v>
      </c>
      <c r="ILF335" s="301" t="s">
        <v>470</v>
      </c>
      <c r="ILG335" s="301" t="s">
        <v>470</v>
      </c>
      <c r="ILH335" s="301" t="s">
        <v>470</v>
      </c>
      <c r="ILI335" s="301" t="s">
        <v>470</v>
      </c>
      <c r="ILJ335" s="301" t="s">
        <v>470</v>
      </c>
      <c r="ILK335" s="301" t="s">
        <v>470</v>
      </c>
      <c r="ILL335" s="301" t="s">
        <v>470</v>
      </c>
      <c r="ILM335" s="301" t="s">
        <v>470</v>
      </c>
      <c r="ILN335" s="301" t="s">
        <v>470</v>
      </c>
      <c r="ILO335" s="301" t="s">
        <v>470</v>
      </c>
      <c r="ILP335" s="301" t="s">
        <v>470</v>
      </c>
      <c r="ILQ335" s="301" t="s">
        <v>470</v>
      </c>
      <c r="ILR335" s="301" t="s">
        <v>470</v>
      </c>
      <c r="ILS335" s="301" t="s">
        <v>470</v>
      </c>
      <c r="ILT335" s="301" t="s">
        <v>470</v>
      </c>
      <c r="ILU335" s="301" t="s">
        <v>470</v>
      </c>
      <c r="ILV335" s="301" t="s">
        <v>470</v>
      </c>
      <c r="ILW335" s="301" t="s">
        <v>470</v>
      </c>
      <c r="ILX335" s="301" t="s">
        <v>470</v>
      </c>
      <c r="ILY335" s="301" t="s">
        <v>470</v>
      </c>
      <c r="ILZ335" s="301" t="s">
        <v>470</v>
      </c>
      <c r="IMA335" s="301" t="s">
        <v>470</v>
      </c>
      <c r="IMB335" s="301" t="s">
        <v>470</v>
      </c>
      <c r="IMC335" s="301" t="s">
        <v>470</v>
      </c>
      <c r="IMD335" s="301" t="s">
        <v>470</v>
      </c>
      <c r="IME335" s="301" t="s">
        <v>470</v>
      </c>
      <c r="IMF335" s="301" t="s">
        <v>470</v>
      </c>
      <c r="IMG335" s="301" t="s">
        <v>470</v>
      </c>
      <c r="IMH335" s="301" t="s">
        <v>470</v>
      </c>
      <c r="IMI335" s="301" t="s">
        <v>470</v>
      </c>
      <c r="IMJ335" s="301" t="s">
        <v>470</v>
      </c>
      <c r="IMK335" s="301" t="s">
        <v>470</v>
      </c>
      <c r="IML335" s="301" t="s">
        <v>470</v>
      </c>
      <c r="IMM335" s="301" t="s">
        <v>470</v>
      </c>
      <c r="IMN335" s="301" t="s">
        <v>470</v>
      </c>
      <c r="IMO335" s="301" t="s">
        <v>470</v>
      </c>
      <c r="IMP335" s="301" t="s">
        <v>470</v>
      </c>
      <c r="IMQ335" s="301" t="s">
        <v>470</v>
      </c>
      <c r="IMR335" s="301" t="s">
        <v>470</v>
      </c>
      <c r="IMS335" s="301" t="s">
        <v>470</v>
      </c>
      <c r="IMT335" s="301" t="s">
        <v>470</v>
      </c>
      <c r="IMU335" s="301" t="s">
        <v>470</v>
      </c>
      <c r="IMV335" s="301" t="s">
        <v>470</v>
      </c>
      <c r="IMW335" s="301" t="s">
        <v>470</v>
      </c>
      <c r="IMX335" s="301" t="s">
        <v>470</v>
      </c>
      <c r="IMY335" s="301" t="s">
        <v>470</v>
      </c>
      <c r="IMZ335" s="301" t="s">
        <v>470</v>
      </c>
      <c r="INA335" s="301" t="s">
        <v>470</v>
      </c>
      <c r="INB335" s="301" t="s">
        <v>470</v>
      </c>
      <c r="INC335" s="301" t="s">
        <v>470</v>
      </c>
      <c r="IND335" s="301" t="s">
        <v>470</v>
      </c>
      <c r="INE335" s="301" t="s">
        <v>470</v>
      </c>
      <c r="INF335" s="301" t="s">
        <v>470</v>
      </c>
      <c r="ING335" s="301" t="s">
        <v>470</v>
      </c>
      <c r="INH335" s="301" t="s">
        <v>470</v>
      </c>
      <c r="INI335" s="301" t="s">
        <v>470</v>
      </c>
      <c r="INJ335" s="301" t="s">
        <v>470</v>
      </c>
      <c r="INK335" s="301" t="s">
        <v>470</v>
      </c>
      <c r="INL335" s="301" t="s">
        <v>470</v>
      </c>
      <c r="INM335" s="301" t="s">
        <v>470</v>
      </c>
      <c r="INN335" s="301" t="s">
        <v>470</v>
      </c>
      <c r="INO335" s="301" t="s">
        <v>470</v>
      </c>
      <c r="INP335" s="301" t="s">
        <v>470</v>
      </c>
      <c r="INQ335" s="301" t="s">
        <v>470</v>
      </c>
      <c r="INR335" s="301" t="s">
        <v>470</v>
      </c>
      <c r="INS335" s="301" t="s">
        <v>470</v>
      </c>
      <c r="INT335" s="301" t="s">
        <v>470</v>
      </c>
      <c r="INU335" s="301" t="s">
        <v>470</v>
      </c>
      <c r="INV335" s="301" t="s">
        <v>470</v>
      </c>
      <c r="INW335" s="301" t="s">
        <v>470</v>
      </c>
      <c r="INX335" s="301" t="s">
        <v>470</v>
      </c>
      <c r="INY335" s="301" t="s">
        <v>470</v>
      </c>
      <c r="INZ335" s="301" t="s">
        <v>470</v>
      </c>
      <c r="IOA335" s="301" t="s">
        <v>470</v>
      </c>
      <c r="IOB335" s="301" t="s">
        <v>470</v>
      </c>
      <c r="IOC335" s="301" t="s">
        <v>470</v>
      </c>
      <c r="IOD335" s="301" t="s">
        <v>470</v>
      </c>
      <c r="IOE335" s="301" t="s">
        <v>470</v>
      </c>
      <c r="IOF335" s="301" t="s">
        <v>470</v>
      </c>
      <c r="IOG335" s="301" t="s">
        <v>470</v>
      </c>
      <c r="IOH335" s="301" t="s">
        <v>470</v>
      </c>
      <c r="IOI335" s="301" t="s">
        <v>470</v>
      </c>
      <c r="IOJ335" s="301" t="s">
        <v>470</v>
      </c>
      <c r="IOK335" s="301" t="s">
        <v>470</v>
      </c>
      <c r="IOL335" s="301" t="s">
        <v>470</v>
      </c>
      <c r="IOM335" s="301" t="s">
        <v>470</v>
      </c>
      <c r="ION335" s="301" t="s">
        <v>470</v>
      </c>
      <c r="IOO335" s="301" t="s">
        <v>470</v>
      </c>
      <c r="IOP335" s="301" t="s">
        <v>470</v>
      </c>
      <c r="IOQ335" s="301" t="s">
        <v>470</v>
      </c>
      <c r="IOR335" s="301" t="s">
        <v>470</v>
      </c>
      <c r="IOS335" s="301" t="s">
        <v>470</v>
      </c>
      <c r="IOT335" s="301" t="s">
        <v>470</v>
      </c>
      <c r="IOU335" s="301" t="s">
        <v>470</v>
      </c>
      <c r="IOV335" s="301" t="s">
        <v>470</v>
      </c>
      <c r="IOW335" s="301" t="s">
        <v>470</v>
      </c>
      <c r="IOX335" s="301" t="s">
        <v>470</v>
      </c>
      <c r="IOY335" s="301" t="s">
        <v>470</v>
      </c>
      <c r="IOZ335" s="301" t="s">
        <v>470</v>
      </c>
      <c r="IPA335" s="301" t="s">
        <v>470</v>
      </c>
      <c r="IPB335" s="301" t="s">
        <v>470</v>
      </c>
      <c r="IPC335" s="301" t="s">
        <v>470</v>
      </c>
      <c r="IPD335" s="301" t="s">
        <v>470</v>
      </c>
      <c r="IPE335" s="301" t="s">
        <v>470</v>
      </c>
      <c r="IPF335" s="301" t="s">
        <v>470</v>
      </c>
      <c r="IPG335" s="301" t="s">
        <v>470</v>
      </c>
      <c r="IPH335" s="301" t="s">
        <v>470</v>
      </c>
      <c r="IPI335" s="301" t="s">
        <v>470</v>
      </c>
      <c r="IPJ335" s="301" t="s">
        <v>470</v>
      </c>
      <c r="IPK335" s="301" t="s">
        <v>470</v>
      </c>
      <c r="IPL335" s="301" t="s">
        <v>470</v>
      </c>
      <c r="IPM335" s="301" t="s">
        <v>470</v>
      </c>
      <c r="IPN335" s="301" t="s">
        <v>470</v>
      </c>
      <c r="IPO335" s="301" t="s">
        <v>470</v>
      </c>
      <c r="IPP335" s="301" t="s">
        <v>470</v>
      </c>
      <c r="IPQ335" s="301" t="s">
        <v>470</v>
      </c>
      <c r="IPR335" s="301" t="s">
        <v>470</v>
      </c>
      <c r="IPS335" s="301" t="s">
        <v>470</v>
      </c>
      <c r="IPT335" s="301" t="s">
        <v>470</v>
      </c>
      <c r="IPU335" s="301" t="s">
        <v>470</v>
      </c>
      <c r="IPV335" s="301" t="s">
        <v>470</v>
      </c>
      <c r="IPW335" s="301" t="s">
        <v>470</v>
      </c>
      <c r="IPX335" s="301" t="s">
        <v>470</v>
      </c>
      <c r="IPY335" s="301" t="s">
        <v>470</v>
      </c>
      <c r="IPZ335" s="301" t="s">
        <v>470</v>
      </c>
      <c r="IQA335" s="301" t="s">
        <v>470</v>
      </c>
      <c r="IQB335" s="301" t="s">
        <v>470</v>
      </c>
      <c r="IQC335" s="301" t="s">
        <v>470</v>
      </c>
      <c r="IQD335" s="301" t="s">
        <v>470</v>
      </c>
      <c r="IQE335" s="301" t="s">
        <v>470</v>
      </c>
      <c r="IQF335" s="301" t="s">
        <v>470</v>
      </c>
      <c r="IQG335" s="301" t="s">
        <v>470</v>
      </c>
      <c r="IQH335" s="301" t="s">
        <v>470</v>
      </c>
      <c r="IQI335" s="301" t="s">
        <v>470</v>
      </c>
      <c r="IQJ335" s="301" t="s">
        <v>470</v>
      </c>
      <c r="IQK335" s="301" t="s">
        <v>470</v>
      </c>
      <c r="IQL335" s="301" t="s">
        <v>470</v>
      </c>
      <c r="IQM335" s="301" t="s">
        <v>470</v>
      </c>
      <c r="IQN335" s="301" t="s">
        <v>470</v>
      </c>
      <c r="IQO335" s="301" t="s">
        <v>470</v>
      </c>
      <c r="IQP335" s="301" t="s">
        <v>470</v>
      </c>
      <c r="IQQ335" s="301" t="s">
        <v>470</v>
      </c>
      <c r="IQR335" s="301" t="s">
        <v>470</v>
      </c>
      <c r="IQS335" s="301" t="s">
        <v>470</v>
      </c>
      <c r="IQT335" s="301" t="s">
        <v>470</v>
      </c>
      <c r="IQU335" s="301" t="s">
        <v>470</v>
      </c>
      <c r="IQV335" s="301" t="s">
        <v>470</v>
      </c>
      <c r="IQW335" s="301" t="s">
        <v>470</v>
      </c>
      <c r="IQX335" s="301" t="s">
        <v>470</v>
      </c>
      <c r="IQY335" s="301" t="s">
        <v>470</v>
      </c>
      <c r="IQZ335" s="301" t="s">
        <v>470</v>
      </c>
      <c r="IRA335" s="301" t="s">
        <v>470</v>
      </c>
      <c r="IRB335" s="301" t="s">
        <v>470</v>
      </c>
      <c r="IRC335" s="301" t="s">
        <v>470</v>
      </c>
      <c r="IRD335" s="301" t="s">
        <v>470</v>
      </c>
      <c r="IRE335" s="301" t="s">
        <v>470</v>
      </c>
      <c r="IRF335" s="301" t="s">
        <v>470</v>
      </c>
      <c r="IRG335" s="301" t="s">
        <v>470</v>
      </c>
      <c r="IRH335" s="301" t="s">
        <v>470</v>
      </c>
      <c r="IRI335" s="301" t="s">
        <v>470</v>
      </c>
      <c r="IRJ335" s="301" t="s">
        <v>470</v>
      </c>
      <c r="IRK335" s="301" t="s">
        <v>470</v>
      </c>
      <c r="IRL335" s="301" t="s">
        <v>470</v>
      </c>
      <c r="IRM335" s="301" t="s">
        <v>470</v>
      </c>
      <c r="IRN335" s="301" t="s">
        <v>470</v>
      </c>
      <c r="IRO335" s="301" t="s">
        <v>470</v>
      </c>
      <c r="IRP335" s="301" t="s">
        <v>470</v>
      </c>
      <c r="IRQ335" s="301" t="s">
        <v>470</v>
      </c>
      <c r="IRR335" s="301" t="s">
        <v>470</v>
      </c>
      <c r="IRS335" s="301" t="s">
        <v>470</v>
      </c>
      <c r="IRT335" s="301" t="s">
        <v>470</v>
      </c>
      <c r="IRU335" s="301" t="s">
        <v>470</v>
      </c>
      <c r="IRV335" s="301" t="s">
        <v>470</v>
      </c>
      <c r="IRW335" s="301" t="s">
        <v>470</v>
      </c>
      <c r="IRX335" s="301" t="s">
        <v>470</v>
      </c>
      <c r="IRY335" s="301" t="s">
        <v>470</v>
      </c>
      <c r="IRZ335" s="301" t="s">
        <v>470</v>
      </c>
      <c r="ISA335" s="301" t="s">
        <v>470</v>
      </c>
      <c r="ISB335" s="301" t="s">
        <v>470</v>
      </c>
      <c r="ISC335" s="301" t="s">
        <v>470</v>
      </c>
      <c r="ISD335" s="301" t="s">
        <v>470</v>
      </c>
      <c r="ISE335" s="301" t="s">
        <v>470</v>
      </c>
      <c r="ISF335" s="301" t="s">
        <v>470</v>
      </c>
      <c r="ISG335" s="301" t="s">
        <v>470</v>
      </c>
      <c r="ISH335" s="301" t="s">
        <v>470</v>
      </c>
      <c r="ISI335" s="301" t="s">
        <v>470</v>
      </c>
      <c r="ISJ335" s="301" t="s">
        <v>470</v>
      </c>
      <c r="ISK335" s="301" t="s">
        <v>470</v>
      </c>
      <c r="ISL335" s="301" t="s">
        <v>470</v>
      </c>
      <c r="ISM335" s="301" t="s">
        <v>470</v>
      </c>
      <c r="ISN335" s="301" t="s">
        <v>470</v>
      </c>
      <c r="ISO335" s="301" t="s">
        <v>470</v>
      </c>
      <c r="ISP335" s="301" t="s">
        <v>470</v>
      </c>
      <c r="ISQ335" s="301" t="s">
        <v>470</v>
      </c>
      <c r="ISR335" s="301" t="s">
        <v>470</v>
      </c>
      <c r="ISS335" s="301" t="s">
        <v>470</v>
      </c>
      <c r="IST335" s="301" t="s">
        <v>470</v>
      </c>
      <c r="ISU335" s="301" t="s">
        <v>470</v>
      </c>
      <c r="ISV335" s="301" t="s">
        <v>470</v>
      </c>
      <c r="ISW335" s="301" t="s">
        <v>470</v>
      </c>
      <c r="ISX335" s="301" t="s">
        <v>470</v>
      </c>
      <c r="ISY335" s="301" t="s">
        <v>470</v>
      </c>
      <c r="ISZ335" s="301" t="s">
        <v>470</v>
      </c>
      <c r="ITA335" s="301" t="s">
        <v>470</v>
      </c>
      <c r="ITB335" s="301" t="s">
        <v>470</v>
      </c>
      <c r="ITC335" s="301" t="s">
        <v>470</v>
      </c>
      <c r="ITD335" s="301" t="s">
        <v>470</v>
      </c>
      <c r="ITE335" s="301" t="s">
        <v>470</v>
      </c>
      <c r="ITF335" s="301" t="s">
        <v>470</v>
      </c>
      <c r="ITG335" s="301" t="s">
        <v>470</v>
      </c>
      <c r="ITH335" s="301" t="s">
        <v>470</v>
      </c>
      <c r="ITI335" s="301" t="s">
        <v>470</v>
      </c>
      <c r="ITJ335" s="301" t="s">
        <v>470</v>
      </c>
      <c r="ITK335" s="301" t="s">
        <v>470</v>
      </c>
      <c r="ITL335" s="301" t="s">
        <v>470</v>
      </c>
      <c r="ITM335" s="301" t="s">
        <v>470</v>
      </c>
      <c r="ITN335" s="301" t="s">
        <v>470</v>
      </c>
      <c r="ITO335" s="301" t="s">
        <v>470</v>
      </c>
      <c r="ITP335" s="301" t="s">
        <v>470</v>
      </c>
      <c r="ITQ335" s="301" t="s">
        <v>470</v>
      </c>
      <c r="ITR335" s="301" t="s">
        <v>470</v>
      </c>
      <c r="ITS335" s="301" t="s">
        <v>470</v>
      </c>
      <c r="ITT335" s="301" t="s">
        <v>470</v>
      </c>
      <c r="ITU335" s="301" t="s">
        <v>470</v>
      </c>
      <c r="ITV335" s="301" t="s">
        <v>470</v>
      </c>
      <c r="ITW335" s="301" t="s">
        <v>470</v>
      </c>
      <c r="ITX335" s="301" t="s">
        <v>470</v>
      </c>
      <c r="ITY335" s="301" t="s">
        <v>470</v>
      </c>
      <c r="ITZ335" s="301" t="s">
        <v>470</v>
      </c>
      <c r="IUA335" s="301" t="s">
        <v>470</v>
      </c>
      <c r="IUB335" s="301" t="s">
        <v>470</v>
      </c>
      <c r="IUC335" s="301" t="s">
        <v>470</v>
      </c>
      <c r="IUD335" s="301" t="s">
        <v>470</v>
      </c>
      <c r="IUE335" s="301" t="s">
        <v>470</v>
      </c>
      <c r="IUF335" s="301" t="s">
        <v>470</v>
      </c>
      <c r="IUG335" s="301" t="s">
        <v>470</v>
      </c>
      <c r="IUH335" s="301" t="s">
        <v>470</v>
      </c>
      <c r="IUI335" s="301" t="s">
        <v>470</v>
      </c>
      <c r="IUJ335" s="301" t="s">
        <v>470</v>
      </c>
      <c r="IUK335" s="301" t="s">
        <v>470</v>
      </c>
      <c r="IUL335" s="301" t="s">
        <v>470</v>
      </c>
      <c r="IUM335" s="301" t="s">
        <v>470</v>
      </c>
      <c r="IUN335" s="301" t="s">
        <v>470</v>
      </c>
      <c r="IUO335" s="301" t="s">
        <v>470</v>
      </c>
      <c r="IUP335" s="301" t="s">
        <v>470</v>
      </c>
      <c r="IUQ335" s="301" t="s">
        <v>470</v>
      </c>
      <c r="IUR335" s="301" t="s">
        <v>470</v>
      </c>
      <c r="IUS335" s="301" t="s">
        <v>470</v>
      </c>
      <c r="IUT335" s="301" t="s">
        <v>470</v>
      </c>
      <c r="IUU335" s="301" t="s">
        <v>470</v>
      </c>
      <c r="IUV335" s="301" t="s">
        <v>470</v>
      </c>
      <c r="IUW335" s="301" t="s">
        <v>470</v>
      </c>
      <c r="IUX335" s="301" t="s">
        <v>470</v>
      </c>
      <c r="IUY335" s="301" t="s">
        <v>470</v>
      </c>
      <c r="IUZ335" s="301" t="s">
        <v>470</v>
      </c>
      <c r="IVA335" s="301" t="s">
        <v>470</v>
      </c>
      <c r="IVB335" s="301" t="s">
        <v>470</v>
      </c>
      <c r="IVC335" s="301" t="s">
        <v>470</v>
      </c>
      <c r="IVD335" s="301" t="s">
        <v>470</v>
      </c>
      <c r="IVE335" s="301" t="s">
        <v>470</v>
      </c>
      <c r="IVF335" s="301" t="s">
        <v>470</v>
      </c>
      <c r="IVG335" s="301" t="s">
        <v>470</v>
      </c>
      <c r="IVH335" s="301" t="s">
        <v>470</v>
      </c>
      <c r="IVI335" s="301" t="s">
        <v>470</v>
      </c>
      <c r="IVJ335" s="301" t="s">
        <v>470</v>
      </c>
      <c r="IVK335" s="301" t="s">
        <v>470</v>
      </c>
      <c r="IVL335" s="301" t="s">
        <v>470</v>
      </c>
      <c r="IVM335" s="301" t="s">
        <v>470</v>
      </c>
      <c r="IVN335" s="301" t="s">
        <v>470</v>
      </c>
      <c r="IVO335" s="301" t="s">
        <v>470</v>
      </c>
      <c r="IVP335" s="301" t="s">
        <v>470</v>
      </c>
      <c r="IVQ335" s="301" t="s">
        <v>470</v>
      </c>
      <c r="IVR335" s="301" t="s">
        <v>470</v>
      </c>
      <c r="IVS335" s="301" t="s">
        <v>470</v>
      </c>
      <c r="IVT335" s="301" t="s">
        <v>470</v>
      </c>
      <c r="IVU335" s="301" t="s">
        <v>470</v>
      </c>
      <c r="IVV335" s="301" t="s">
        <v>470</v>
      </c>
      <c r="IVW335" s="301" t="s">
        <v>470</v>
      </c>
      <c r="IVX335" s="301" t="s">
        <v>470</v>
      </c>
      <c r="IVY335" s="301" t="s">
        <v>470</v>
      </c>
      <c r="IVZ335" s="301" t="s">
        <v>470</v>
      </c>
      <c r="IWA335" s="301" t="s">
        <v>470</v>
      </c>
      <c r="IWB335" s="301" t="s">
        <v>470</v>
      </c>
      <c r="IWC335" s="301" t="s">
        <v>470</v>
      </c>
      <c r="IWD335" s="301" t="s">
        <v>470</v>
      </c>
      <c r="IWE335" s="301" t="s">
        <v>470</v>
      </c>
      <c r="IWF335" s="301" t="s">
        <v>470</v>
      </c>
      <c r="IWG335" s="301" t="s">
        <v>470</v>
      </c>
      <c r="IWH335" s="301" t="s">
        <v>470</v>
      </c>
      <c r="IWI335" s="301" t="s">
        <v>470</v>
      </c>
      <c r="IWJ335" s="301" t="s">
        <v>470</v>
      </c>
      <c r="IWK335" s="301" t="s">
        <v>470</v>
      </c>
      <c r="IWL335" s="301" t="s">
        <v>470</v>
      </c>
      <c r="IWM335" s="301" t="s">
        <v>470</v>
      </c>
      <c r="IWN335" s="301" t="s">
        <v>470</v>
      </c>
      <c r="IWO335" s="301" t="s">
        <v>470</v>
      </c>
      <c r="IWP335" s="301" t="s">
        <v>470</v>
      </c>
      <c r="IWQ335" s="301" t="s">
        <v>470</v>
      </c>
      <c r="IWR335" s="301" t="s">
        <v>470</v>
      </c>
      <c r="IWS335" s="301" t="s">
        <v>470</v>
      </c>
      <c r="IWT335" s="301" t="s">
        <v>470</v>
      </c>
      <c r="IWU335" s="301" t="s">
        <v>470</v>
      </c>
      <c r="IWV335" s="301" t="s">
        <v>470</v>
      </c>
      <c r="IWW335" s="301" t="s">
        <v>470</v>
      </c>
      <c r="IWX335" s="301" t="s">
        <v>470</v>
      </c>
      <c r="IWY335" s="301" t="s">
        <v>470</v>
      </c>
      <c r="IWZ335" s="301" t="s">
        <v>470</v>
      </c>
      <c r="IXA335" s="301" t="s">
        <v>470</v>
      </c>
      <c r="IXB335" s="301" t="s">
        <v>470</v>
      </c>
      <c r="IXC335" s="301" t="s">
        <v>470</v>
      </c>
      <c r="IXD335" s="301" t="s">
        <v>470</v>
      </c>
      <c r="IXE335" s="301" t="s">
        <v>470</v>
      </c>
      <c r="IXF335" s="301" t="s">
        <v>470</v>
      </c>
      <c r="IXG335" s="301" t="s">
        <v>470</v>
      </c>
      <c r="IXH335" s="301" t="s">
        <v>470</v>
      </c>
      <c r="IXI335" s="301" t="s">
        <v>470</v>
      </c>
      <c r="IXJ335" s="301" t="s">
        <v>470</v>
      </c>
      <c r="IXK335" s="301" t="s">
        <v>470</v>
      </c>
      <c r="IXL335" s="301" t="s">
        <v>470</v>
      </c>
      <c r="IXM335" s="301" t="s">
        <v>470</v>
      </c>
      <c r="IXN335" s="301" t="s">
        <v>470</v>
      </c>
      <c r="IXO335" s="301" t="s">
        <v>470</v>
      </c>
      <c r="IXP335" s="301" t="s">
        <v>470</v>
      </c>
      <c r="IXQ335" s="301" t="s">
        <v>470</v>
      </c>
      <c r="IXR335" s="301" t="s">
        <v>470</v>
      </c>
      <c r="IXS335" s="301" t="s">
        <v>470</v>
      </c>
      <c r="IXT335" s="301" t="s">
        <v>470</v>
      </c>
      <c r="IXU335" s="301" t="s">
        <v>470</v>
      </c>
      <c r="IXV335" s="301" t="s">
        <v>470</v>
      </c>
      <c r="IXW335" s="301" t="s">
        <v>470</v>
      </c>
      <c r="IXX335" s="301" t="s">
        <v>470</v>
      </c>
      <c r="IXY335" s="301" t="s">
        <v>470</v>
      </c>
      <c r="IXZ335" s="301" t="s">
        <v>470</v>
      </c>
      <c r="IYA335" s="301" t="s">
        <v>470</v>
      </c>
      <c r="IYB335" s="301" t="s">
        <v>470</v>
      </c>
      <c r="IYC335" s="301" t="s">
        <v>470</v>
      </c>
      <c r="IYD335" s="301" t="s">
        <v>470</v>
      </c>
      <c r="IYE335" s="301" t="s">
        <v>470</v>
      </c>
      <c r="IYF335" s="301" t="s">
        <v>470</v>
      </c>
      <c r="IYG335" s="301" t="s">
        <v>470</v>
      </c>
      <c r="IYH335" s="301" t="s">
        <v>470</v>
      </c>
      <c r="IYI335" s="301" t="s">
        <v>470</v>
      </c>
      <c r="IYJ335" s="301" t="s">
        <v>470</v>
      </c>
      <c r="IYK335" s="301" t="s">
        <v>470</v>
      </c>
      <c r="IYL335" s="301" t="s">
        <v>470</v>
      </c>
      <c r="IYM335" s="301" t="s">
        <v>470</v>
      </c>
      <c r="IYN335" s="301" t="s">
        <v>470</v>
      </c>
      <c r="IYO335" s="301" t="s">
        <v>470</v>
      </c>
      <c r="IYP335" s="301" t="s">
        <v>470</v>
      </c>
      <c r="IYQ335" s="301" t="s">
        <v>470</v>
      </c>
      <c r="IYR335" s="301" t="s">
        <v>470</v>
      </c>
      <c r="IYS335" s="301" t="s">
        <v>470</v>
      </c>
      <c r="IYT335" s="301" t="s">
        <v>470</v>
      </c>
      <c r="IYU335" s="301" t="s">
        <v>470</v>
      </c>
      <c r="IYV335" s="301" t="s">
        <v>470</v>
      </c>
      <c r="IYW335" s="301" t="s">
        <v>470</v>
      </c>
      <c r="IYX335" s="301" t="s">
        <v>470</v>
      </c>
      <c r="IYY335" s="301" t="s">
        <v>470</v>
      </c>
      <c r="IYZ335" s="301" t="s">
        <v>470</v>
      </c>
      <c r="IZA335" s="301" t="s">
        <v>470</v>
      </c>
      <c r="IZB335" s="301" t="s">
        <v>470</v>
      </c>
      <c r="IZC335" s="301" t="s">
        <v>470</v>
      </c>
      <c r="IZD335" s="301" t="s">
        <v>470</v>
      </c>
      <c r="IZE335" s="301" t="s">
        <v>470</v>
      </c>
      <c r="IZF335" s="301" t="s">
        <v>470</v>
      </c>
      <c r="IZG335" s="301" t="s">
        <v>470</v>
      </c>
      <c r="IZH335" s="301" t="s">
        <v>470</v>
      </c>
      <c r="IZI335" s="301" t="s">
        <v>470</v>
      </c>
      <c r="IZJ335" s="301" t="s">
        <v>470</v>
      </c>
      <c r="IZK335" s="301" t="s">
        <v>470</v>
      </c>
      <c r="IZL335" s="301" t="s">
        <v>470</v>
      </c>
      <c r="IZM335" s="301" t="s">
        <v>470</v>
      </c>
      <c r="IZN335" s="301" t="s">
        <v>470</v>
      </c>
      <c r="IZO335" s="301" t="s">
        <v>470</v>
      </c>
      <c r="IZP335" s="301" t="s">
        <v>470</v>
      </c>
      <c r="IZQ335" s="301" t="s">
        <v>470</v>
      </c>
      <c r="IZR335" s="301" t="s">
        <v>470</v>
      </c>
      <c r="IZS335" s="301" t="s">
        <v>470</v>
      </c>
      <c r="IZT335" s="301" t="s">
        <v>470</v>
      </c>
      <c r="IZU335" s="301" t="s">
        <v>470</v>
      </c>
      <c r="IZV335" s="301" t="s">
        <v>470</v>
      </c>
      <c r="IZW335" s="301" t="s">
        <v>470</v>
      </c>
      <c r="IZX335" s="301" t="s">
        <v>470</v>
      </c>
      <c r="IZY335" s="301" t="s">
        <v>470</v>
      </c>
      <c r="IZZ335" s="301" t="s">
        <v>470</v>
      </c>
      <c r="JAA335" s="301" t="s">
        <v>470</v>
      </c>
      <c r="JAB335" s="301" t="s">
        <v>470</v>
      </c>
      <c r="JAC335" s="301" t="s">
        <v>470</v>
      </c>
      <c r="JAD335" s="301" t="s">
        <v>470</v>
      </c>
      <c r="JAE335" s="301" t="s">
        <v>470</v>
      </c>
      <c r="JAF335" s="301" t="s">
        <v>470</v>
      </c>
      <c r="JAG335" s="301" t="s">
        <v>470</v>
      </c>
      <c r="JAH335" s="301" t="s">
        <v>470</v>
      </c>
      <c r="JAI335" s="301" t="s">
        <v>470</v>
      </c>
      <c r="JAJ335" s="301" t="s">
        <v>470</v>
      </c>
      <c r="JAK335" s="301" t="s">
        <v>470</v>
      </c>
      <c r="JAL335" s="301" t="s">
        <v>470</v>
      </c>
      <c r="JAM335" s="301" t="s">
        <v>470</v>
      </c>
      <c r="JAN335" s="301" t="s">
        <v>470</v>
      </c>
      <c r="JAO335" s="301" t="s">
        <v>470</v>
      </c>
      <c r="JAP335" s="301" t="s">
        <v>470</v>
      </c>
      <c r="JAQ335" s="301" t="s">
        <v>470</v>
      </c>
      <c r="JAR335" s="301" t="s">
        <v>470</v>
      </c>
      <c r="JAS335" s="301" t="s">
        <v>470</v>
      </c>
      <c r="JAT335" s="301" t="s">
        <v>470</v>
      </c>
      <c r="JAU335" s="301" t="s">
        <v>470</v>
      </c>
      <c r="JAV335" s="301" t="s">
        <v>470</v>
      </c>
      <c r="JAW335" s="301" t="s">
        <v>470</v>
      </c>
      <c r="JAX335" s="301" t="s">
        <v>470</v>
      </c>
      <c r="JAY335" s="301" t="s">
        <v>470</v>
      </c>
      <c r="JAZ335" s="301" t="s">
        <v>470</v>
      </c>
      <c r="JBA335" s="301" t="s">
        <v>470</v>
      </c>
      <c r="JBB335" s="301" t="s">
        <v>470</v>
      </c>
      <c r="JBC335" s="301" t="s">
        <v>470</v>
      </c>
      <c r="JBD335" s="301" t="s">
        <v>470</v>
      </c>
      <c r="JBE335" s="301" t="s">
        <v>470</v>
      </c>
      <c r="JBF335" s="301" t="s">
        <v>470</v>
      </c>
      <c r="JBG335" s="301" t="s">
        <v>470</v>
      </c>
      <c r="JBH335" s="301" t="s">
        <v>470</v>
      </c>
      <c r="JBI335" s="301" t="s">
        <v>470</v>
      </c>
      <c r="JBJ335" s="301" t="s">
        <v>470</v>
      </c>
      <c r="JBK335" s="301" t="s">
        <v>470</v>
      </c>
      <c r="JBL335" s="301" t="s">
        <v>470</v>
      </c>
      <c r="JBM335" s="301" t="s">
        <v>470</v>
      </c>
      <c r="JBN335" s="301" t="s">
        <v>470</v>
      </c>
      <c r="JBO335" s="301" t="s">
        <v>470</v>
      </c>
      <c r="JBP335" s="301" t="s">
        <v>470</v>
      </c>
      <c r="JBQ335" s="301" t="s">
        <v>470</v>
      </c>
      <c r="JBR335" s="301" t="s">
        <v>470</v>
      </c>
      <c r="JBS335" s="301" t="s">
        <v>470</v>
      </c>
      <c r="JBT335" s="301" t="s">
        <v>470</v>
      </c>
      <c r="JBU335" s="301" t="s">
        <v>470</v>
      </c>
      <c r="JBV335" s="301" t="s">
        <v>470</v>
      </c>
      <c r="JBW335" s="301" t="s">
        <v>470</v>
      </c>
      <c r="JBX335" s="301" t="s">
        <v>470</v>
      </c>
      <c r="JBY335" s="301" t="s">
        <v>470</v>
      </c>
      <c r="JBZ335" s="301" t="s">
        <v>470</v>
      </c>
      <c r="JCA335" s="301" t="s">
        <v>470</v>
      </c>
      <c r="JCB335" s="301" t="s">
        <v>470</v>
      </c>
      <c r="JCC335" s="301" t="s">
        <v>470</v>
      </c>
      <c r="JCD335" s="301" t="s">
        <v>470</v>
      </c>
      <c r="JCE335" s="301" t="s">
        <v>470</v>
      </c>
      <c r="JCF335" s="301" t="s">
        <v>470</v>
      </c>
      <c r="JCG335" s="301" t="s">
        <v>470</v>
      </c>
      <c r="JCH335" s="301" t="s">
        <v>470</v>
      </c>
      <c r="JCI335" s="301" t="s">
        <v>470</v>
      </c>
      <c r="JCJ335" s="301" t="s">
        <v>470</v>
      </c>
      <c r="JCK335" s="301" t="s">
        <v>470</v>
      </c>
      <c r="JCL335" s="301" t="s">
        <v>470</v>
      </c>
      <c r="JCM335" s="301" t="s">
        <v>470</v>
      </c>
      <c r="JCN335" s="301" t="s">
        <v>470</v>
      </c>
      <c r="JCO335" s="301" t="s">
        <v>470</v>
      </c>
      <c r="JCP335" s="301" t="s">
        <v>470</v>
      </c>
      <c r="JCQ335" s="301" t="s">
        <v>470</v>
      </c>
      <c r="JCR335" s="301" t="s">
        <v>470</v>
      </c>
      <c r="JCS335" s="301" t="s">
        <v>470</v>
      </c>
      <c r="JCT335" s="301" t="s">
        <v>470</v>
      </c>
      <c r="JCU335" s="301" t="s">
        <v>470</v>
      </c>
      <c r="JCV335" s="301" t="s">
        <v>470</v>
      </c>
      <c r="JCW335" s="301" t="s">
        <v>470</v>
      </c>
      <c r="JCX335" s="301" t="s">
        <v>470</v>
      </c>
      <c r="JCY335" s="301" t="s">
        <v>470</v>
      </c>
      <c r="JCZ335" s="301" t="s">
        <v>470</v>
      </c>
      <c r="JDA335" s="301" t="s">
        <v>470</v>
      </c>
      <c r="JDB335" s="301" t="s">
        <v>470</v>
      </c>
      <c r="JDC335" s="301" t="s">
        <v>470</v>
      </c>
      <c r="JDD335" s="301" t="s">
        <v>470</v>
      </c>
      <c r="JDE335" s="301" t="s">
        <v>470</v>
      </c>
      <c r="JDF335" s="301" t="s">
        <v>470</v>
      </c>
      <c r="JDG335" s="301" t="s">
        <v>470</v>
      </c>
      <c r="JDH335" s="301" t="s">
        <v>470</v>
      </c>
      <c r="JDI335" s="301" t="s">
        <v>470</v>
      </c>
      <c r="JDJ335" s="301" t="s">
        <v>470</v>
      </c>
      <c r="JDK335" s="301" t="s">
        <v>470</v>
      </c>
      <c r="JDL335" s="301" t="s">
        <v>470</v>
      </c>
      <c r="JDM335" s="301" t="s">
        <v>470</v>
      </c>
      <c r="JDN335" s="301" t="s">
        <v>470</v>
      </c>
      <c r="JDO335" s="301" t="s">
        <v>470</v>
      </c>
      <c r="JDP335" s="301" t="s">
        <v>470</v>
      </c>
      <c r="JDQ335" s="301" t="s">
        <v>470</v>
      </c>
      <c r="JDR335" s="301" t="s">
        <v>470</v>
      </c>
      <c r="JDS335" s="301" t="s">
        <v>470</v>
      </c>
      <c r="JDT335" s="301" t="s">
        <v>470</v>
      </c>
      <c r="JDU335" s="301" t="s">
        <v>470</v>
      </c>
      <c r="JDV335" s="301" t="s">
        <v>470</v>
      </c>
      <c r="JDW335" s="301" t="s">
        <v>470</v>
      </c>
      <c r="JDX335" s="301" t="s">
        <v>470</v>
      </c>
      <c r="JDY335" s="301" t="s">
        <v>470</v>
      </c>
      <c r="JDZ335" s="301" t="s">
        <v>470</v>
      </c>
      <c r="JEA335" s="301" t="s">
        <v>470</v>
      </c>
      <c r="JEB335" s="301" t="s">
        <v>470</v>
      </c>
      <c r="JEC335" s="301" t="s">
        <v>470</v>
      </c>
      <c r="JED335" s="301" t="s">
        <v>470</v>
      </c>
      <c r="JEE335" s="301" t="s">
        <v>470</v>
      </c>
      <c r="JEF335" s="301" t="s">
        <v>470</v>
      </c>
      <c r="JEG335" s="301" t="s">
        <v>470</v>
      </c>
      <c r="JEH335" s="301" t="s">
        <v>470</v>
      </c>
      <c r="JEI335" s="301" t="s">
        <v>470</v>
      </c>
      <c r="JEJ335" s="301" t="s">
        <v>470</v>
      </c>
      <c r="JEK335" s="301" t="s">
        <v>470</v>
      </c>
      <c r="JEL335" s="301" t="s">
        <v>470</v>
      </c>
      <c r="JEM335" s="301" t="s">
        <v>470</v>
      </c>
      <c r="JEN335" s="301" t="s">
        <v>470</v>
      </c>
      <c r="JEO335" s="301" t="s">
        <v>470</v>
      </c>
      <c r="JEP335" s="301" t="s">
        <v>470</v>
      </c>
      <c r="JEQ335" s="301" t="s">
        <v>470</v>
      </c>
      <c r="JER335" s="301" t="s">
        <v>470</v>
      </c>
      <c r="JES335" s="301" t="s">
        <v>470</v>
      </c>
      <c r="JET335" s="301" t="s">
        <v>470</v>
      </c>
      <c r="JEU335" s="301" t="s">
        <v>470</v>
      </c>
      <c r="JEV335" s="301" t="s">
        <v>470</v>
      </c>
      <c r="JEW335" s="301" t="s">
        <v>470</v>
      </c>
      <c r="JEX335" s="301" t="s">
        <v>470</v>
      </c>
      <c r="JEY335" s="301" t="s">
        <v>470</v>
      </c>
      <c r="JEZ335" s="301" t="s">
        <v>470</v>
      </c>
      <c r="JFA335" s="301" t="s">
        <v>470</v>
      </c>
      <c r="JFB335" s="301" t="s">
        <v>470</v>
      </c>
      <c r="JFC335" s="301" t="s">
        <v>470</v>
      </c>
      <c r="JFD335" s="301" t="s">
        <v>470</v>
      </c>
      <c r="JFE335" s="301" t="s">
        <v>470</v>
      </c>
      <c r="JFF335" s="301" t="s">
        <v>470</v>
      </c>
      <c r="JFG335" s="301" t="s">
        <v>470</v>
      </c>
      <c r="JFH335" s="301" t="s">
        <v>470</v>
      </c>
      <c r="JFI335" s="301" t="s">
        <v>470</v>
      </c>
      <c r="JFJ335" s="301" t="s">
        <v>470</v>
      </c>
      <c r="JFK335" s="301" t="s">
        <v>470</v>
      </c>
      <c r="JFL335" s="301" t="s">
        <v>470</v>
      </c>
      <c r="JFM335" s="301" t="s">
        <v>470</v>
      </c>
      <c r="JFN335" s="301" t="s">
        <v>470</v>
      </c>
      <c r="JFO335" s="301" t="s">
        <v>470</v>
      </c>
      <c r="JFP335" s="301" t="s">
        <v>470</v>
      </c>
      <c r="JFQ335" s="301" t="s">
        <v>470</v>
      </c>
      <c r="JFR335" s="301" t="s">
        <v>470</v>
      </c>
      <c r="JFS335" s="301" t="s">
        <v>470</v>
      </c>
      <c r="JFT335" s="301" t="s">
        <v>470</v>
      </c>
      <c r="JFU335" s="301" t="s">
        <v>470</v>
      </c>
      <c r="JFV335" s="301" t="s">
        <v>470</v>
      </c>
      <c r="JFW335" s="301" t="s">
        <v>470</v>
      </c>
      <c r="JFX335" s="301" t="s">
        <v>470</v>
      </c>
      <c r="JFY335" s="301" t="s">
        <v>470</v>
      </c>
      <c r="JFZ335" s="301" t="s">
        <v>470</v>
      </c>
      <c r="JGA335" s="301" t="s">
        <v>470</v>
      </c>
      <c r="JGB335" s="301" t="s">
        <v>470</v>
      </c>
      <c r="JGC335" s="301" t="s">
        <v>470</v>
      </c>
      <c r="JGD335" s="301" t="s">
        <v>470</v>
      </c>
      <c r="JGE335" s="301" t="s">
        <v>470</v>
      </c>
      <c r="JGF335" s="301" t="s">
        <v>470</v>
      </c>
      <c r="JGG335" s="301" t="s">
        <v>470</v>
      </c>
      <c r="JGH335" s="301" t="s">
        <v>470</v>
      </c>
      <c r="JGI335" s="301" t="s">
        <v>470</v>
      </c>
      <c r="JGJ335" s="301" t="s">
        <v>470</v>
      </c>
      <c r="JGK335" s="301" t="s">
        <v>470</v>
      </c>
      <c r="JGL335" s="301" t="s">
        <v>470</v>
      </c>
      <c r="JGM335" s="301" t="s">
        <v>470</v>
      </c>
      <c r="JGN335" s="301" t="s">
        <v>470</v>
      </c>
      <c r="JGO335" s="301" t="s">
        <v>470</v>
      </c>
      <c r="JGP335" s="301" t="s">
        <v>470</v>
      </c>
      <c r="JGQ335" s="301" t="s">
        <v>470</v>
      </c>
      <c r="JGR335" s="301" t="s">
        <v>470</v>
      </c>
      <c r="JGS335" s="301" t="s">
        <v>470</v>
      </c>
      <c r="JGT335" s="301" t="s">
        <v>470</v>
      </c>
      <c r="JGU335" s="301" t="s">
        <v>470</v>
      </c>
      <c r="JGV335" s="301" t="s">
        <v>470</v>
      </c>
      <c r="JGW335" s="301" t="s">
        <v>470</v>
      </c>
      <c r="JGX335" s="301" t="s">
        <v>470</v>
      </c>
      <c r="JGY335" s="301" t="s">
        <v>470</v>
      </c>
      <c r="JGZ335" s="301" t="s">
        <v>470</v>
      </c>
      <c r="JHA335" s="301" t="s">
        <v>470</v>
      </c>
      <c r="JHB335" s="301" t="s">
        <v>470</v>
      </c>
      <c r="JHC335" s="301" t="s">
        <v>470</v>
      </c>
      <c r="JHD335" s="301" t="s">
        <v>470</v>
      </c>
      <c r="JHE335" s="301" t="s">
        <v>470</v>
      </c>
      <c r="JHF335" s="301" t="s">
        <v>470</v>
      </c>
      <c r="JHG335" s="301" t="s">
        <v>470</v>
      </c>
      <c r="JHH335" s="301" t="s">
        <v>470</v>
      </c>
      <c r="JHI335" s="301" t="s">
        <v>470</v>
      </c>
      <c r="JHJ335" s="301" t="s">
        <v>470</v>
      </c>
      <c r="JHK335" s="301" t="s">
        <v>470</v>
      </c>
      <c r="JHL335" s="301" t="s">
        <v>470</v>
      </c>
      <c r="JHM335" s="301" t="s">
        <v>470</v>
      </c>
      <c r="JHN335" s="301" t="s">
        <v>470</v>
      </c>
      <c r="JHO335" s="301" t="s">
        <v>470</v>
      </c>
      <c r="JHP335" s="301" t="s">
        <v>470</v>
      </c>
      <c r="JHQ335" s="301" t="s">
        <v>470</v>
      </c>
      <c r="JHR335" s="301" t="s">
        <v>470</v>
      </c>
      <c r="JHS335" s="301" t="s">
        <v>470</v>
      </c>
      <c r="JHT335" s="301" t="s">
        <v>470</v>
      </c>
      <c r="JHU335" s="301" t="s">
        <v>470</v>
      </c>
      <c r="JHV335" s="301" t="s">
        <v>470</v>
      </c>
      <c r="JHW335" s="301" t="s">
        <v>470</v>
      </c>
      <c r="JHX335" s="301" t="s">
        <v>470</v>
      </c>
      <c r="JHY335" s="301" t="s">
        <v>470</v>
      </c>
      <c r="JHZ335" s="301" t="s">
        <v>470</v>
      </c>
      <c r="JIA335" s="301" t="s">
        <v>470</v>
      </c>
      <c r="JIB335" s="301" t="s">
        <v>470</v>
      </c>
      <c r="JIC335" s="301" t="s">
        <v>470</v>
      </c>
      <c r="JID335" s="301" t="s">
        <v>470</v>
      </c>
      <c r="JIE335" s="301" t="s">
        <v>470</v>
      </c>
      <c r="JIF335" s="301" t="s">
        <v>470</v>
      </c>
      <c r="JIG335" s="301" t="s">
        <v>470</v>
      </c>
      <c r="JIH335" s="301" t="s">
        <v>470</v>
      </c>
      <c r="JII335" s="301" t="s">
        <v>470</v>
      </c>
      <c r="JIJ335" s="301" t="s">
        <v>470</v>
      </c>
      <c r="JIK335" s="301" t="s">
        <v>470</v>
      </c>
      <c r="JIL335" s="301" t="s">
        <v>470</v>
      </c>
      <c r="JIM335" s="301" t="s">
        <v>470</v>
      </c>
      <c r="JIN335" s="301" t="s">
        <v>470</v>
      </c>
      <c r="JIO335" s="301" t="s">
        <v>470</v>
      </c>
      <c r="JIP335" s="301" t="s">
        <v>470</v>
      </c>
      <c r="JIQ335" s="301" t="s">
        <v>470</v>
      </c>
      <c r="JIR335" s="301" t="s">
        <v>470</v>
      </c>
      <c r="JIS335" s="301" t="s">
        <v>470</v>
      </c>
      <c r="JIT335" s="301" t="s">
        <v>470</v>
      </c>
      <c r="JIU335" s="301" t="s">
        <v>470</v>
      </c>
      <c r="JIV335" s="301" t="s">
        <v>470</v>
      </c>
      <c r="JIW335" s="301" t="s">
        <v>470</v>
      </c>
      <c r="JIX335" s="301" t="s">
        <v>470</v>
      </c>
      <c r="JIY335" s="301" t="s">
        <v>470</v>
      </c>
      <c r="JIZ335" s="301" t="s">
        <v>470</v>
      </c>
      <c r="JJA335" s="301" t="s">
        <v>470</v>
      </c>
      <c r="JJB335" s="301" t="s">
        <v>470</v>
      </c>
      <c r="JJC335" s="301" t="s">
        <v>470</v>
      </c>
      <c r="JJD335" s="301" t="s">
        <v>470</v>
      </c>
      <c r="JJE335" s="301" t="s">
        <v>470</v>
      </c>
      <c r="JJF335" s="301" t="s">
        <v>470</v>
      </c>
      <c r="JJG335" s="301" t="s">
        <v>470</v>
      </c>
      <c r="JJH335" s="301" t="s">
        <v>470</v>
      </c>
      <c r="JJI335" s="301" t="s">
        <v>470</v>
      </c>
      <c r="JJJ335" s="301" t="s">
        <v>470</v>
      </c>
      <c r="JJK335" s="301" t="s">
        <v>470</v>
      </c>
      <c r="JJL335" s="301" t="s">
        <v>470</v>
      </c>
      <c r="JJM335" s="301" t="s">
        <v>470</v>
      </c>
      <c r="JJN335" s="301" t="s">
        <v>470</v>
      </c>
      <c r="JJO335" s="301" t="s">
        <v>470</v>
      </c>
      <c r="JJP335" s="301" t="s">
        <v>470</v>
      </c>
      <c r="JJQ335" s="301" t="s">
        <v>470</v>
      </c>
      <c r="JJR335" s="301" t="s">
        <v>470</v>
      </c>
      <c r="JJS335" s="301" t="s">
        <v>470</v>
      </c>
      <c r="JJT335" s="301" t="s">
        <v>470</v>
      </c>
      <c r="JJU335" s="301" t="s">
        <v>470</v>
      </c>
      <c r="JJV335" s="301" t="s">
        <v>470</v>
      </c>
      <c r="JJW335" s="301" t="s">
        <v>470</v>
      </c>
      <c r="JJX335" s="301" t="s">
        <v>470</v>
      </c>
      <c r="JJY335" s="301" t="s">
        <v>470</v>
      </c>
      <c r="JJZ335" s="301" t="s">
        <v>470</v>
      </c>
      <c r="JKA335" s="301" t="s">
        <v>470</v>
      </c>
      <c r="JKB335" s="301" t="s">
        <v>470</v>
      </c>
      <c r="JKC335" s="301" t="s">
        <v>470</v>
      </c>
      <c r="JKD335" s="301" t="s">
        <v>470</v>
      </c>
      <c r="JKE335" s="301" t="s">
        <v>470</v>
      </c>
      <c r="JKF335" s="301" t="s">
        <v>470</v>
      </c>
      <c r="JKG335" s="301" t="s">
        <v>470</v>
      </c>
      <c r="JKH335" s="301" t="s">
        <v>470</v>
      </c>
      <c r="JKI335" s="301" t="s">
        <v>470</v>
      </c>
      <c r="JKJ335" s="301" t="s">
        <v>470</v>
      </c>
      <c r="JKK335" s="301" t="s">
        <v>470</v>
      </c>
      <c r="JKL335" s="301" t="s">
        <v>470</v>
      </c>
      <c r="JKM335" s="301" t="s">
        <v>470</v>
      </c>
      <c r="JKN335" s="301" t="s">
        <v>470</v>
      </c>
      <c r="JKO335" s="301" t="s">
        <v>470</v>
      </c>
      <c r="JKP335" s="301" t="s">
        <v>470</v>
      </c>
      <c r="JKQ335" s="301" t="s">
        <v>470</v>
      </c>
      <c r="JKR335" s="301" t="s">
        <v>470</v>
      </c>
      <c r="JKS335" s="301" t="s">
        <v>470</v>
      </c>
      <c r="JKT335" s="301" t="s">
        <v>470</v>
      </c>
      <c r="JKU335" s="301" t="s">
        <v>470</v>
      </c>
      <c r="JKV335" s="301" t="s">
        <v>470</v>
      </c>
      <c r="JKW335" s="301" t="s">
        <v>470</v>
      </c>
      <c r="JKX335" s="301" t="s">
        <v>470</v>
      </c>
      <c r="JKY335" s="301" t="s">
        <v>470</v>
      </c>
      <c r="JKZ335" s="301" t="s">
        <v>470</v>
      </c>
      <c r="JLA335" s="301" t="s">
        <v>470</v>
      </c>
      <c r="JLB335" s="301" t="s">
        <v>470</v>
      </c>
      <c r="JLC335" s="301" t="s">
        <v>470</v>
      </c>
      <c r="JLD335" s="301" t="s">
        <v>470</v>
      </c>
      <c r="JLE335" s="301" t="s">
        <v>470</v>
      </c>
      <c r="JLF335" s="301" t="s">
        <v>470</v>
      </c>
      <c r="JLG335" s="301" t="s">
        <v>470</v>
      </c>
      <c r="JLH335" s="301" t="s">
        <v>470</v>
      </c>
      <c r="JLI335" s="301" t="s">
        <v>470</v>
      </c>
      <c r="JLJ335" s="301" t="s">
        <v>470</v>
      </c>
      <c r="JLK335" s="301" t="s">
        <v>470</v>
      </c>
      <c r="JLL335" s="301" t="s">
        <v>470</v>
      </c>
      <c r="JLM335" s="301" t="s">
        <v>470</v>
      </c>
      <c r="JLN335" s="301" t="s">
        <v>470</v>
      </c>
      <c r="JLO335" s="301" t="s">
        <v>470</v>
      </c>
      <c r="JLP335" s="301" t="s">
        <v>470</v>
      </c>
      <c r="JLQ335" s="301" t="s">
        <v>470</v>
      </c>
      <c r="JLR335" s="301" t="s">
        <v>470</v>
      </c>
      <c r="JLS335" s="301" t="s">
        <v>470</v>
      </c>
      <c r="JLT335" s="301" t="s">
        <v>470</v>
      </c>
      <c r="JLU335" s="301" t="s">
        <v>470</v>
      </c>
      <c r="JLV335" s="301" t="s">
        <v>470</v>
      </c>
      <c r="JLW335" s="301" t="s">
        <v>470</v>
      </c>
      <c r="JLX335" s="301" t="s">
        <v>470</v>
      </c>
      <c r="JLY335" s="301" t="s">
        <v>470</v>
      </c>
      <c r="JLZ335" s="301" t="s">
        <v>470</v>
      </c>
      <c r="JMA335" s="301" t="s">
        <v>470</v>
      </c>
      <c r="JMB335" s="301" t="s">
        <v>470</v>
      </c>
      <c r="JMC335" s="301" t="s">
        <v>470</v>
      </c>
      <c r="JMD335" s="301" t="s">
        <v>470</v>
      </c>
      <c r="JME335" s="301" t="s">
        <v>470</v>
      </c>
      <c r="JMF335" s="301" t="s">
        <v>470</v>
      </c>
      <c r="JMG335" s="301" t="s">
        <v>470</v>
      </c>
      <c r="JMH335" s="301" t="s">
        <v>470</v>
      </c>
      <c r="JMI335" s="301" t="s">
        <v>470</v>
      </c>
      <c r="JMJ335" s="301" t="s">
        <v>470</v>
      </c>
      <c r="JMK335" s="301" t="s">
        <v>470</v>
      </c>
      <c r="JML335" s="301" t="s">
        <v>470</v>
      </c>
      <c r="JMM335" s="301" t="s">
        <v>470</v>
      </c>
      <c r="JMN335" s="301" t="s">
        <v>470</v>
      </c>
      <c r="JMO335" s="301" t="s">
        <v>470</v>
      </c>
      <c r="JMP335" s="301" t="s">
        <v>470</v>
      </c>
      <c r="JMQ335" s="301" t="s">
        <v>470</v>
      </c>
      <c r="JMR335" s="301" t="s">
        <v>470</v>
      </c>
      <c r="JMS335" s="301" t="s">
        <v>470</v>
      </c>
      <c r="JMT335" s="301" t="s">
        <v>470</v>
      </c>
      <c r="JMU335" s="301" t="s">
        <v>470</v>
      </c>
      <c r="JMV335" s="301" t="s">
        <v>470</v>
      </c>
      <c r="JMW335" s="301" t="s">
        <v>470</v>
      </c>
      <c r="JMX335" s="301" t="s">
        <v>470</v>
      </c>
      <c r="JMY335" s="301" t="s">
        <v>470</v>
      </c>
      <c r="JMZ335" s="301" t="s">
        <v>470</v>
      </c>
      <c r="JNA335" s="301" t="s">
        <v>470</v>
      </c>
      <c r="JNB335" s="301" t="s">
        <v>470</v>
      </c>
      <c r="JNC335" s="301" t="s">
        <v>470</v>
      </c>
      <c r="JND335" s="301" t="s">
        <v>470</v>
      </c>
      <c r="JNE335" s="301" t="s">
        <v>470</v>
      </c>
      <c r="JNF335" s="301" t="s">
        <v>470</v>
      </c>
      <c r="JNG335" s="301" t="s">
        <v>470</v>
      </c>
      <c r="JNH335" s="301" t="s">
        <v>470</v>
      </c>
      <c r="JNI335" s="301" t="s">
        <v>470</v>
      </c>
      <c r="JNJ335" s="301" t="s">
        <v>470</v>
      </c>
      <c r="JNK335" s="301" t="s">
        <v>470</v>
      </c>
      <c r="JNL335" s="301" t="s">
        <v>470</v>
      </c>
      <c r="JNM335" s="301" t="s">
        <v>470</v>
      </c>
      <c r="JNN335" s="301" t="s">
        <v>470</v>
      </c>
      <c r="JNO335" s="301" t="s">
        <v>470</v>
      </c>
      <c r="JNP335" s="301" t="s">
        <v>470</v>
      </c>
      <c r="JNQ335" s="301" t="s">
        <v>470</v>
      </c>
      <c r="JNR335" s="301" t="s">
        <v>470</v>
      </c>
      <c r="JNS335" s="301" t="s">
        <v>470</v>
      </c>
      <c r="JNT335" s="301" t="s">
        <v>470</v>
      </c>
      <c r="JNU335" s="301" t="s">
        <v>470</v>
      </c>
      <c r="JNV335" s="301" t="s">
        <v>470</v>
      </c>
      <c r="JNW335" s="301" t="s">
        <v>470</v>
      </c>
      <c r="JNX335" s="301" t="s">
        <v>470</v>
      </c>
      <c r="JNY335" s="301" t="s">
        <v>470</v>
      </c>
      <c r="JNZ335" s="301" t="s">
        <v>470</v>
      </c>
      <c r="JOA335" s="301" t="s">
        <v>470</v>
      </c>
      <c r="JOB335" s="301" t="s">
        <v>470</v>
      </c>
      <c r="JOC335" s="301" t="s">
        <v>470</v>
      </c>
      <c r="JOD335" s="301" t="s">
        <v>470</v>
      </c>
      <c r="JOE335" s="301" t="s">
        <v>470</v>
      </c>
      <c r="JOF335" s="301" t="s">
        <v>470</v>
      </c>
      <c r="JOG335" s="301" t="s">
        <v>470</v>
      </c>
      <c r="JOH335" s="301" t="s">
        <v>470</v>
      </c>
      <c r="JOI335" s="301" t="s">
        <v>470</v>
      </c>
      <c r="JOJ335" s="301" t="s">
        <v>470</v>
      </c>
      <c r="JOK335" s="301" t="s">
        <v>470</v>
      </c>
      <c r="JOL335" s="301" t="s">
        <v>470</v>
      </c>
      <c r="JOM335" s="301" t="s">
        <v>470</v>
      </c>
      <c r="JON335" s="301" t="s">
        <v>470</v>
      </c>
      <c r="JOO335" s="301" t="s">
        <v>470</v>
      </c>
      <c r="JOP335" s="301" t="s">
        <v>470</v>
      </c>
      <c r="JOQ335" s="301" t="s">
        <v>470</v>
      </c>
      <c r="JOR335" s="301" t="s">
        <v>470</v>
      </c>
      <c r="JOS335" s="301" t="s">
        <v>470</v>
      </c>
      <c r="JOT335" s="301" t="s">
        <v>470</v>
      </c>
      <c r="JOU335" s="301" t="s">
        <v>470</v>
      </c>
      <c r="JOV335" s="301" t="s">
        <v>470</v>
      </c>
      <c r="JOW335" s="301" t="s">
        <v>470</v>
      </c>
      <c r="JOX335" s="301" t="s">
        <v>470</v>
      </c>
      <c r="JOY335" s="301" t="s">
        <v>470</v>
      </c>
      <c r="JOZ335" s="301" t="s">
        <v>470</v>
      </c>
      <c r="JPA335" s="301" t="s">
        <v>470</v>
      </c>
      <c r="JPB335" s="301" t="s">
        <v>470</v>
      </c>
      <c r="JPC335" s="301" t="s">
        <v>470</v>
      </c>
      <c r="JPD335" s="301" t="s">
        <v>470</v>
      </c>
      <c r="JPE335" s="301" t="s">
        <v>470</v>
      </c>
      <c r="JPF335" s="301" t="s">
        <v>470</v>
      </c>
      <c r="JPG335" s="301" t="s">
        <v>470</v>
      </c>
      <c r="JPH335" s="301" t="s">
        <v>470</v>
      </c>
      <c r="JPI335" s="301" t="s">
        <v>470</v>
      </c>
      <c r="JPJ335" s="301" t="s">
        <v>470</v>
      </c>
      <c r="JPK335" s="301" t="s">
        <v>470</v>
      </c>
      <c r="JPL335" s="301" t="s">
        <v>470</v>
      </c>
      <c r="JPM335" s="301" t="s">
        <v>470</v>
      </c>
      <c r="JPN335" s="301" t="s">
        <v>470</v>
      </c>
      <c r="JPO335" s="301" t="s">
        <v>470</v>
      </c>
      <c r="JPP335" s="301" t="s">
        <v>470</v>
      </c>
      <c r="JPQ335" s="301" t="s">
        <v>470</v>
      </c>
      <c r="JPR335" s="301" t="s">
        <v>470</v>
      </c>
      <c r="JPS335" s="301" t="s">
        <v>470</v>
      </c>
      <c r="JPT335" s="301" t="s">
        <v>470</v>
      </c>
      <c r="JPU335" s="301" t="s">
        <v>470</v>
      </c>
      <c r="JPV335" s="301" t="s">
        <v>470</v>
      </c>
      <c r="JPW335" s="301" t="s">
        <v>470</v>
      </c>
      <c r="JPX335" s="301" t="s">
        <v>470</v>
      </c>
      <c r="JPY335" s="301" t="s">
        <v>470</v>
      </c>
      <c r="JPZ335" s="301" t="s">
        <v>470</v>
      </c>
      <c r="JQA335" s="301" t="s">
        <v>470</v>
      </c>
      <c r="JQB335" s="301" t="s">
        <v>470</v>
      </c>
      <c r="JQC335" s="301" t="s">
        <v>470</v>
      </c>
      <c r="JQD335" s="301" t="s">
        <v>470</v>
      </c>
      <c r="JQE335" s="301" t="s">
        <v>470</v>
      </c>
      <c r="JQF335" s="301" t="s">
        <v>470</v>
      </c>
      <c r="JQG335" s="301" t="s">
        <v>470</v>
      </c>
      <c r="JQH335" s="301" t="s">
        <v>470</v>
      </c>
      <c r="JQI335" s="301" t="s">
        <v>470</v>
      </c>
      <c r="JQJ335" s="301" t="s">
        <v>470</v>
      </c>
      <c r="JQK335" s="301" t="s">
        <v>470</v>
      </c>
      <c r="JQL335" s="301" t="s">
        <v>470</v>
      </c>
      <c r="JQM335" s="301" t="s">
        <v>470</v>
      </c>
      <c r="JQN335" s="301" t="s">
        <v>470</v>
      </c>
      <c r="JQO335" s="301" t="s">
        <v>470</v>
      </c>
      <c r="JQP335" s="301" t="s">
        <v>470</v>
      </c>
      <c r="JQQ335" s="301" t="s">
        <v>470</v>
      </c>
      <c r="JQR335" s="301" t="s">
        <v>470</v>
      </c>
      <c r="JQS335" s="301" t="s">
        <v>470</v>
      </c>
      <c r="JQT335" s="301" t="s">
        <v>470</v>
      </c>
      <c r="JQU335" s="301" t="s">
        <v>470</v>
      </c>
      <c r="JQV335" s="301" t="s">
        <v>470</v>
      </c>
      <c r="JQW335" s="301" t="s">
        <v>470</v>
      </c>
      <c r="JQX335" s="301" t="s">
        <v>470</v>
      </c>
      <c r="JQY335" s="301" t="s">
        <v>470</v>
      </c>
      <c r="JQZ335" s="301" t="s">
        <v>470</v>
      </c>
      <c r="JRA335" s="301" t="s">
        <v>470</v>
      </c>
      <c r="JRB335" s="301" t="s">
        <v>470</v>
      </c>
      <c r="JRC335" s="301" t="s">
        <v>470</v>
      </c>
      <c r="JRD335" s="301" t="s">
        <v>470</v>
      </c>
      <c r="JRE335" s="301" t="s">
        <v>470</v>
      </c>
      <c r="JRF335" s="301" t="s">
        <v>470</v>
      </c>
      <c r="JRG335" s="301" t="s">
        <v>470</v>
      </c>
      <c r="JRH335" s="301" t="s">
        <v>470</v>
      </c>
      <c r="JRI335" s="301" t="s">
        <v>470</v>
      </c>
      <c r="JRJ335" s="301" t="s">
        <v>470</v>
      </c>
      <c r="JRK335" s="301" t="s">
        <v>470</v>
      </c>
      <c r="JRL335" s="301" t="s">
        <v>470</v>
      </c>
      <c r="JRM335" s="301" t="s">
        <v>470</v>
      </c>
      <c r="JRN335" s="301" t="s">
        <v>470</v>
      </c>
      <c r="JRO335" s="301" t="s">
        <v>470</v>
      </c>
      <c r="JRP335" s="301" t="s">
        <v>470</v>
      </c>
      <c r="JRQ335" s="301" t="s">
        <v>470</v>
      </c>
      <c r="JRR335" s="301" t="s">
        <v>470</v>
      </c>
      <c r="JRS335" s="301" t="s">
        <v>470</v>
      </c>
      <c r="JRT335" s="301" t="s">
        <v>470</v>
      </c>
      <c r="JRU335" s="301" t="s">
        <v>470</v>
      </c>
      <c r="JRV335" s="301" t="s">
        <v>470</v>
      </c>
      <c r="JRW335" s="301" t="s">
        <v>470</v>
      </c>
      <c r="JRX335" s="301" t="s">
        <v>470</v>
      </c>
      <c r="JRY335" s="301" t="s">
        <v>470</v>
      </c>
      <c r="JRZ335" s="301" t="s">
        <v>470</v>
      </c>
      <c r="JSA335" s="301" t="s">
        <v>470</v>
      </c>
      <c r="JSB335" s="301" t="s">
        <v>470</v>
      </c>
      <c r="JSC335" s="301" t="s">
        <v>470</v>
      </c>
      <c r="JSD335" s="301" t="s">
        <v>470</v>
      </c>
      <c r="JSE335" s="301" t="s">
        <v>470</v>
      </c>
      <c r="JSF335" s="301" t="s">
        <v>470</v>
      </c>
      <c r="JSG335" s="301" t="s">
        <v>470</v>
      </c>
      <c r="JSH335" s="301" t="s">
        <v>470</v>
      </c>
      <c r="JSI335" s="301" t="s">
        <v>470</v>
      </c>
      <c r="JSJ335" s="301" t="s">
        <v>470</v>
      </c>
      <c r="JSK335" s="301" t="s">
        <v>470</v>
      </c>
      <c r="JSL335" s="301" t="s">
        <v>470</v>
      </c>
      <c r="JSM335" s="301" t="s">
        <v>470</v>
      </c>
      <c r="JSN335" s="301" t="s">
        <v>470</v>
      </c>
      <c r="JSO335" s="301" t="s">
        <v>470</v>
      </c>
      <c r="JSP335" s="301" t="s">
        <v>470</v>
      </c>
      <c r="JSQ335" s="301" t="s">
        <v>470</v>
      </c>
      <c r="JSR335" s="301" t="s">
        <v>470</v>
      </c>
      <c r="JSS335" s="301" t="s">
        <v>470</v>
      </c>
      <c r="JST335" s="301" t="s">
        <v>470</v>
      </c>
      <c r="JSU335" s="301" t="s">
        <v>470</v>
      </c>
      <c r="JSV335" s="301" t="s">
        <v>470</v>
      </c>
      <c r="JSW335" s="301" t="s">
        <v>470</v>
      </c>
      <c r="JSX335" s="301" t="s">
        <v>470</v>
      </c>
      <c r="JSY335" s="301" t="s">
        <v>470</v>
      </c>
      <c r="JSZ335" s="301" t="s">
        <v>470</v>
      </c>
      <c r="JTA335" s="301" t="s">
        <v>470</v>
      </c>
      <c r="JTB335" s="301" t="s">
        <v>470</v>
      </c>
      <c r="JTC335" s="301" t="s">
        <v>470</v>
      </c>
      <c r="JTD335" s="301" t="s">
        <v>470</v>
      </c>
      <c r="JTE335" s="301" t="s">
        <v>470</v>
      </c>
      <c r="JTF335" s="301" t="s">
        <v>470</v>
      </c>
      <c r="JTG335" s="301" t="s">
        <v>470</v>
      </c>
      <c r="JTH335" s="301" t="s">
        <v>470</v>
      </c>
      <c r="JTI335" s="301" t="s">
        <v>470</v>
      </c>
      <c r="JTJ335" s="301" t="s">
        <v>470</v>
      </c>
      <c r="JTK335" s="301" t="s">
        <v>470</v>
      </c>
      <c r="JTL335" s="301" t="s">
        <v>470</v>
      </c>
      <c r="JTM335" s="301" t="s">
        <v>470</v>
      </c>
      <c r="JTN335" s="301" t="s">
        <v>470</v>
      </c>
      <c r="JTO335" s="301" t="s">
        <v>470</v>
      </c>
      <c r="JTP335" s="301" t="s">
        <v>470</v>
      </c>
      <c r="JTQ335" s="301" t="s">
        <v>470</v>
      </c>
      <c r="JTR335" s="301" t="s">
        <v>470</v>
      </c>
      <c r="JTS335" s="301" t="s">
        <v>470</v>
      </c>
      <c r="JTT335" s="301" t="s">
        <v>470</v>
      </c>
      <c r="JTU335" s="301" t="s">
        <v>470</v>
      </c>
      <c r="JTV335" s="301" t="s">
        <v>470</v>
      </c>
      <c r="JTW335" s="301" t="s">
        <v>470</v>
      </c>
      <c r="JTX335" s="301" t="s">
        <v>470</v>
      </c>
      <c r="JTY335" s="301" t="s">
        <v>470</v>
      </c>
      <c r="JTZ335" s="301" t="s">
        <v>470</v>
      </c>
      <c r="JUA335" s="301" t="s">
        <v>470</v>
      </c>
      <c r="JUB335" s="301" t="s">
        <v>470</v>
      </c>
      <c r="JUC335" s="301" t="s">
        <v>470</v>
      </c>
      <c r="JUD335" s="301" t="s">
        <v>470</v>
      </c>
      <c r="JUE335" s="301" t="s">
        <v>470</v>
      </c>
      <c r="JUF335" s="301" t="s">
        <v>470</v>
      </c>
      <c r="JUG335" s="301" t="s">
        <v>470</v>
      </c>
      <c r="JUH335" s="301" t="s">
        <v>470</v>
      </c>
      <c r="JUI335" s="301" t="s">
        <v>470</v>
      </c>
      <c r="JUJ335" s="301" t="s">
        <v>470</v>
      </c>
      <c r="JUK335" s="301" t="s">
        <v>470</v>
      </c>
      <c r="JUL335" s="301" t="s">
        <v>470</v>
      </c>
      <c r="JUM335" s="301" t="s">
        <v>470</v>
      </c>
      <c r="JUN335" s="301" t="s">
        <v>470</v>
      </c>
      <c r="JUO335" s="301" t="s">
        <v>470</v>
      </c>
      <c r="JUP335" s="301" t="s">
        <v>470</v>
      </c>
      <c r="JUQ335" s="301" t="s">
        <v>470</v>
      </c>
      <c r="JUR335" s="301" t="s">
        <v>470</v>
      </c>
      <c r="JUS335" s="301" t="s">
        <v>470</v>
      </c>
      <c r="JUT335" s="301" t="s">
        <v>470</v>
      </c>
      <c r="JUU335" s="301" t="s">
        <v>470</v>
      </c>
      <c r="JUV335" s="301" t="s">
        <v>470</v>
      </c>
      <c r="JUW335" s="301" t="s">
        <v>470</v>
      </c>
      <c r="JUX335" s="301" t="s">
        <v>470</v>
      </c>
      <c r="JUY335" s="301" t="s">
        <v>470</v>
      </c>
      <c r="JUZ335" s="301" t="s">
        <v>470</v>
      </c>
      <c r="JVA335" s="301" t="s">
        <v>470</v>
      </c>
      <c r="JVB335" s="301" t="s">
        <v>470</v>
      </c>
      <c r="JVC335" s="301" t="s">
        <v>470</v>
      </c>
      <c r="JVD335" s="301" t="s">
        <v>470</v>
      </c>
      <c r="JVE335" s="301" t="s">
        <v>470</v>
      </c>
      <c r="JVF335" s="301" t="s">
        <v>470</v>
      </c>
      <c r="JVG335" s="301" t="s">
        <v>470</v>
      </c>
      <c r="JVH335" s="301" t="s">
        <v>470</v>
      </c>
      <c r="JVI335" s="301" t="s">
        <v>470</v>
      </c>
      <c r="JVJ335" s="301" t="s">
        <v>470</v>
      </c>
      <c r="JVK335" s="301" t="s">
        <v>470</v>
      </c>
      <c r="JVL335" s="301" t="s">
        <v>470</v>
      </c>
      <c r="JVM335" s="301" t="s">
        <v>470</v>
      </c>
      <c r="JVN335" s="301" t="s">
        <v>470</v>
      </c>
      <c r="JVO335" s="301" t="s">
        <v>470</v>
      </c>
      <c r="JVP335" s="301" t="s">
        <v>470</v>
      </c>
      <c r="JVQ335" s="301" t="s">
        <v>470</v>
      </c>
      <c r="JVR335" s="301" t="s">
        <v>470</v>
      </c>
      <c r="JVS335" s="301" t="s">
        <v>470</v>
      </c>
      <c r="JVT335" s="301" t="s">
        <v>470</v>
      </c>
      <c r="JVU335" s="301" t="s">
        <v>470</v>
      </c>
      <c r="JVV335" s="301" t="s">
        <v>470</v>
      </c>
      <c r="JVW335" s="301" t="s">
        <v>470</v>
      </c>
      <c r="JVX335" s="301" t="s">
        <v>470</v>
      </c>
      <c r="JVY335" s="301" t="s">
        <v>470</v>
      </c>
      <c r="JVZ335" s="301" t="s">
        <v>470</v>
      </c>
      <c r="JWA335" s="301" t="s">
        <v>470</v>
      </c>
      <c r="JWB335" s="301" t="s">
        <v>470</v>
      </c>
      <c r="JWC335" s="301" t="s">
        <v>470</v>
      </c>
      <c r="JWD335" s="301" t="s">
        <v>470</v>
      </c>
      <c r="JWE335" s="301" t="s">
        <v>470</v>
      </c>
      <c r="JWF335" s="301" t="s">
        <v>470</v>
      </c>
      <c r="JWG335" s="301" t="s">
        <v>470</v>
      </c>
      <c r="JWH335" s="301" t="s">
        <v>470</v>
      </c>
      <c r="JWI335" s="301" t="s">
        <v>470</v>
      </c>
      <c r="JWJ335" s="301" t="s">
        <v>470</v>
      </c>
      <c r="JWK335" s="301" t="s">
        <v>470</v>
      </c>
      <c r="JWL335" s="301" t="s">
        <v>470</v>
      </c>
      <c r="JWM335" s="301" t="s">
        <v>470</v>
      </c>
      <c r="JWN335" s="301" t="s">
        <v>470</v>
      </c>
      <c r="JWO335" s="301" t="s">
        <v>470</v>
      </c>
      <c r="JWP335" s="301" t="s">
        <v>470</v>
      </c>
      <c r="JWQ335" s="301" t="s">
        <v>470</v>
      </c>
      <c r="JWR335" s="301" t="s">
        <v>470</v>
      </c>
      <c r="JWS335" s="301" t="s">
        <v>470</v>
      </c>
      <c r="JWT335" s="301" t="s">
        <v>470</v>
      </c>
      <c r="JWU335" s="301" t="s">
        <v>470</v>
      </c>
      <c r="JWV335" s="301" t="s">
        <v>470</v>
      </c>
      <c r="JWW335" s="301" t="s">
        <v>470</v>
      </c>
      <c r="JWX335" s="301" t="s">
        <v>470</v>
      </c>
      <c r="JWY335" s="301" t="s">
        <v>470</v>
      </c>
      <c r="JWZ335" s="301" t="s">
        <v>470</v>
      </c>
      <c r="JXA335" s="301" t="s">
        <v>470</v>
      </c>
      <c r="JXB335" s="301" t="s">
        <v>470</v>
      </c>
      <c r="JXC335" s="301" t="s">
        <v>470</v>
      </c>
      <c r="JXD335" s="301" t="s">
        <v>470</v>
      </c>
      <c r="JXE335" s="301" t="s">
        <v>470</v>
      </c>
      <c r="JXF335" s="301" t="s">
        <v>470</v>
      </c>
      <c r="JXG335" s="301" t="s">
        <v>470</v>
      </c>
      <c r="JXH335" s="301" t="s">
        <v>470</v>
      </c>
      <c r="JXI335" s="301" t="s">
        <v>470</v>
      </c>
      <c r="JXJ335" s="301" t="s">
        <v>470</v>
      </c>
      <c r="JXK335" s="301" t="s">
        <v>470</v>
      </c>
      <c r="JXL335" s="301" t="s">
        <v>470</v>
      </c>
      <c r="JXM335" s="301" t="s">
        <v>470</v>
      </c>
      <c r="JXN335" s="301" t="s">
        <v>470</v>
      </c>
      <c r="JXO335" s="301" t="s">
        <v>470</v>
      </c>
      <c r="JXP335" s="301" t="s">
        <v>470</v>
      </c>
      <c r="JXQ335" s="301" t="s">
        <v>470</v>
      </c>
      <c r="JXR335" s="301" t="s">
        <v>470</v>
      </c>
      <c r="JXS335" s="301" t="s">
        <v>470</v>
      </c>
      <c r="JXT335" s="301" t="s">
        <v>470</v>
      </c>
      <c r="JXU335" s="301" t="s">
        <v>470</v>
      </c>
      <c r="JXV335" s="301" t="s">
        <v>470</v>
      </c>
      <c r="JXW335" s="301" t="s">
        <v>470</v>
      </c>
      <c r="JXX335" s="301" t="s">
        <v>470</v>
      </c>
      <c r="JXY335" s="301" t="s">
        <v>470</v>
      </c>
      <c r="JXZ335" s="301" t="s">
        <v>470</v>
      </c>
      <c r="JYA335" s="301" t="s">
        <v>470</v>
      </c>
      <c r="JYB335" s="301" t="s">
        <v>470</v>
      </c>
      <c r="JYC335" s="301" t="s">
        <v>470</v>
      </c>
      <c r="JYD335" s="301" t="s">
        <v>470</v>
      </c>
      <c r="JYE335" s="301" t="s">
        <v>470</v>
      </c>
      <c r="JYF335" s="301" t="s">
        <v>470</v>
      </c>
      <c r="JYG335" s="301" t="s">
        <v>470</v>
      </c>
      <c r="JYH335" s="301" t="s">
        <v>470</v>
      </c>
      <c r="JYI335" s="301" t="s">
        <v>470</v>
      </c>
      <c r="JYJ335" s="301" t="s">
        <v>470</v>
      </c>
      <c r="JYK335" s="301" t="s">
        <v>470</v>
      </c>
      <c r="JYL335" s="301" t="s">
        <v>470</v>
      </c>
      <c r="JYM335" s="301" t="s">
        <v>470</v>
      </c>
      <c r="JYN335" s="301" t="s">
        <v>470</v>
      </c>
      <c r="JYO335" s="301" t="s">
        <v>470</v>
      </c>
      <c r="JYP335" s="301" t="s">
        <v>470</v>
      </c>
      <c r="JYQ335" s="301" t="s">
        <v>470</v>
      </c>
      <c r="JYR335" s="301" t="s">
        <v>470</v>
      </c>
      <c r="JYS335" s="301" t="s">
        <v>470</v>
      </c>
      <c r="JYT335" s="301" t="s">
        <v>470</v>
      </c>
      <c r="JYU335" s="301" t="s">
        <v>470</v>
      </c>
      <c r="JYV335" s="301" t="s">
        <v>470</v>
      </c>
      <c r="JYW335" s="301" t="s">
        <v>470</v>
      </c>
      <c r="JYX335" s="301" t="s">
        <v>470</v>
      </c>
      <c r="JYY335" s="301" t="s">
        <v>470</v>
      </c>
      <c r="JYZ335" s="301" t="s">
        <v>470</v>
      </c>
      <c r="JZA335" s="301" t="s">
        <v>470</v>
      </c>
      <c r="JZB335" s="301" t="s">
        <v>470</v>
      </c>
      <c r="JZC335" s="301" t="s">
        <v>470</v>
      </c>
      <c r="JZD335" s="301" t="s">
        <v>470</v>
      </c>
      <c r="JZE335" s="301" t="s">
        <v>470</v>
      </c>
      <c r="JZF335" s="301" t="s">
        <v>470</v>
      </c>
      <c r="JZG335" s="301" t="s">
        <v>470</v>
      </c>
      <c r="JZH335" s="301" t="s">
        <v>470</v>
      </c>
      <c r="JZI335" s="301" t="s">
        <v>470</v>
      </c>
      <c r="JZJ335" s="301" t="s">
        <v>470</v>
      </c>
      <c r="JZK335" s="301" t="s">
        <v>470</v>
      </c>
      <c r="JZL335" s="301" t="s">
        <v>470</v>
      </c>
      <c r="JZM335" s="301" t="s">
        <v>470</v>
      </c>
      <c r="JZN335" s="301" t="s">
        <v>470</v>
      </c>
      <c r="JZO335" s="301" t="s">
        <v>470</v>
      </c>
      <c r="JZP335" s="301" t="s">
        <v>470</v>
      </c>
      <c r="JZQ335" s="301" t="s">
        <v>470</v>
      </c>
      <c r="JZR335" s="301" t="s">
        <v>470</v>
      </c>
      <c r="JZS335" s="301" t="s">
        <v>470</v>
      </c>
      <c r="JZT335" s="301" t="s">
        <v>470</v>
      </c>
      <c r="JZU335" s="301" t="s">
        <v>470</v>
      </c>
      <c r="JZV335" s="301" t="s">
        <v>470</v>
      </c>
      <c r="JZW335" s="301" t="s">
        <v>470</v>
      </c>
      <c r="JZX335" s="301" t="s">
        <v>470</v>
      </c>
      <c r="JZY335" s="301" t="s">
        <v>470</v>
      </c>
      <c r="JZZ335" s="301" t="s">
        <v>470</v>
      </c>
      <c r="KAA335" s="301" t="s">
        <v>470</v>
      </c>
      <c r="KAB335" s="301" t="s">
        <v>470</v>
      </c>
      <c r="KAC335" s="301" t="s">
        <v>470</v>
      </c>
      <c r="KAD335" s="301" t="s">
        <v>470</v>
      </c>
      <c r="KAE335" s="301" t="s">
        <v>470</v>
      </c>
      <c r="KAF335" s="301" t="s">
        <v>470</v>
      </c>
      <c r="KAG335" s="301" t="s">
        <v>470</v>
      </c>
      <c r="KAH335" s="301" t="s">
        <v>470</v>
      </c>
      <c r="KAI335" s="301" t="s">
        <v>470</v>
      </c>
      <c r="KAJ335" s="301" t="s">
        <v>470</v>
      </c>
      <c r="KAK335" s="301" t="s">
        <v>470</v>
      </c>
      <c r="KAL335" s="301" t="s">
        <v>470</v>
      </c>
      <c r="KAM335" s="301" t="s">
        <v>470</v>
      </c>
      <c r="KAN335" s="301" t="s">
        <v>470</v>
      </c>
      <c r="KAO335" s="301" t="s">
        <v>470</v>
      </c>
      <c r="KAP335" s="301" t="s">
        <v>470</v>
      </c>
      <c r="KAQ335" s="301" t="s">
        <v>470</v>
      </c>
      <c r="KAR335" s="301" t="s">
        <v>470</v>
      </c>
      <c r="KAS335" s="301" t="s">
        <v>470</v>
      </c>
      <c r="KAT335" s="301" t="s">
        <v>470</v>
      </c>
      <c r="KAU335" s="301" t="s">
        <v>470</v>
      </c>
      <c r="KAV335" s="301" t="s">
        <v>470</v>
      </c>
      <c r="KAW335" s="301" t="s">
        <v>470</v>
      </c>
      <c r="KAX335" s="301" t="s">
        <v>470</v>
      </c>
      <c r="KAY335" s="301" t="s">
        <v>470</v>
      </c>
      <c r="KAZ335" s="301" t="s">
        <v>470</v>
      </c>
      <c r="KBA335" s="301" t="s">
        <v>470</v>
      </c>
      <c r="KBB335" s="301" t="s">
        <v>470</v>
      </c>
      <c r="KBC335" s="301" t="s">
        <v>470</v>
      </c>
      <c r="KBD335" s="301" t="s">
        <v>470</v>
      </c>
      <c r="KBE335" s="301" t="s">
        <v>470</v>
      </c>
      <c r="KBF335" s="301" t="s">
        <v>470</v>
      </c>
      <c r="KBG335" s="301" t="s">
        <v>470</v>
      </c>
      <c r="KBH335" s="301" t="s">
        <v>470</v>
      </c>
      <c r="KBI335" s="301" t="s">
        <v>470</v>
      </c>
      <c r="KBJ335" s="301" t="s">
        <v>470</v>
      </c>
      <c r="KBK335" s="301" t="s">
        <v>470</v>
      </c>
      <c r="KBL335" s="301" t="s">
        <v>470</v>
      </c>
      <c r="KBM335" s="301" t="s">
        <v>470</v>
      </c>
      <c r="KBN335" s="301" t="s">
        <v>470</v>
      </c>
      <c r="KBO335" s="301" t="s">
        <v>470</v>
      </c>
      <c r="KBP335" s="301" t="s">
        <v>470</v>
      </c>
      <c r="KBQ335" s="301" t="s">
        <v>470</v>
      </c>
      <c r="KBR335" s="301" t="s">
        <v>470</v>
      </c>
      <c r="KBS335" s="301" t="s">
        <v>470</v>
      </c>
      <c r="KBT335" s="301" t="s">
        <v>470</v>
      </c>
      <c r="KBU335" s="301" t="s">
        <v>470</v>
      </c>
      <c r="KBV335" s="301" t="s">
        <v>470</v>
      </c>
      <c r="KBW335" s="301" t="s">
        <v>470</v>
      </c>
      <c r="KBX335" s="301" t="s">
        <v>470</v>
      </c>
      <c r="KBY335" s="301" t="s">
        <v>470</v>
      </c>
      <c r="KBZ335" s="301" t="s">
        <v>470</v>
      </c>
      <c r="KCA335" s="301" t="s">
        <v>470</v>
      </c>
      <c r="KCB335" s="301" t="s">
        <v>470</v>
      </c>
      <c r="KCC335" s="301" t="s">
        <v>470</v>
      </c>
      <c r="KCD335" s="301" t="s">
        <v>470</v>
      </c>
      <c r="KCE335" s="301" t="s">
        <v>470</v>
      </c>
      <c r="KCF335" s="301" t="s">
        <v>470</v>
      </c>
      <c r="KCG335" s="301" t="s">
        <v>470</v>
      </c>
      <c r="KCH335" s="301" t="s">
        <v>470</v>
      </c>
      <c r="KCI335" s="301" t="s">
        <v>470</v>
      </c>
      <c r="KCJ335" s="301" t="s">
        <v>470</v>
      </c>
      <c r="KCK335" s="301" t="s">
        <v>470</v>
      </c>
      <c r="KCL335" s="301" t="s">
        <v>470</v>
      </c>
      <c r="KCM335" s="301" t="s">
        <v>470</v>
      </c>
      <c r="KCN335" s="301" t="s">
        <v>470</v>
      </c>
      <c r="KCO335" s="301" t="s">
        <v>470</v>
      </c>
      <c r="KCP335" s="301" t="s">
        <v>470</v>
      </c>
      <c r="KCQ335" s="301" t="s">
        <v>470</v>
      </c>
      <c r="KCR335" s="301" t="s">
        <v>470</v>
      </c>
      <c r="KCS335" s="301" t="s">
        <v>470</v>
      </c>
      <c r="KCT335" s="301" t="s">
        <v>470</v>
      </c>
      <c r="KCU335" s="301" t="s">
        <v>470</v>
      </c>
      <c r="KCV335" s="301" t="s">
        <v>470</v>
      </c>
      <c r="KCW335" s="301" t="s">
        <v>470</v>
      </c>
      <c r="KCX335" s="301" t="s">
        <v>470</v>
      </c>
      <c r="KCY335" s="301" t="s">
        <v>470</v>
      </c>
      <c r="KCZ335" s="301" t="s">
        <v>470</v>
      </c>
      <c r="KDA335" s="301" t="s">
        <v>470</v>
      </c>
      <c r="KDB335" s="301" t="s">
        <v>470</v>
      </c>
      <c r="KDC335" s="301" t="s">
        <v>470</v>
      </c>
      <c r="KDD335" s="301" t="s">
        <v>470</v>
      </c>
      <c r="KDE335" s="301" t="s">
        <v>470</v>
      </c>
      <c r="KDF335" s="301" t="s">
        <v>470</v>
      </c>
      <c r="KDG335" s="301" t="s">
        <v>470</v>
      </c>
      <c r="KDH335" s="301" t="s">
        <v>470</v>
      </c>
      <c r="KDI335" s="301" t="s">
        <v>470</v>
      </c>
      <c r="KDJ335" s="301" t="s">
        <v>470</v>
      </c>
      <c r="KDK335" s="301" t="s">
        <v>470</v>
      </c>
      <c r="KDL335" s="301" t="s">
        <v>470</v>
      </c>
      <c r="KDM335" s="301" t="s">
        <v>470</v>
      </c>
      <c r="KDN335" s="301" t="s">
        <v>470</v>
      </c>
      <c r="KDO335" s="301" t="s">
        <v>470</v>
      </c>
      <c r="KDP335" s="301" t="s">
        <v>470</v>
      </c>
      <c r="KDQ335" s="301" t="s">
        <v>470</v>
      </c>
      <c r="KDR335" s="301" t="s">
        <v>470</v>
      </c>
      <c r="KDS335" s="301" t="s">
        <v>470</v>
      </c>
      <c r="KDT335" s="301" t="s">
        <v>470</v>
      </c>
      <c r="KDU335" s="301" t="s">
        <v>470</v>
      </c>
      <c r="KDV335" s="301" t="s">
        <v>470</v>
      </c>
      <c r="KDW335" s="301" t="s">
        <v>470</v>
      </c>
      <c r="KDX335" s="301" t="s">
        <v>470</v>
      </c>
      <c r="KDY335" s="301" t="s">
        <v>470</v>
      </c>
      <c r="KDZ335" s="301" t="s">
        <v>470</v>
      </c>
      <c r="KEA335" s="301" t="s">
        <v>470</v>
      </c>
      <c r="KEB335" s="301" t="s">
        <v>470</v>
      </c>
      <c r="KEC335" s="301" t="s">
        <v>470</v>
      </c>
      <c r="KED335" s="301" t="s">
        <v>470</v>
      </c>
      <c r="KEE335" s="301" t="s">
        <v>470</v>
      </c>
      <c r="KEF335" s="301" t="s">
        <v>470</v>
      </c>
      <c r="KEG335" s="301" t="s">
        <v>470</v>
      </c>
      <c r="KEH335" s="301" t="s">
        <v>470</v>
      </c>
      <c r="KEI335" s="301" t="s">
        <v>470</v>
      </c>
      <c r="KEJ335" s="301" t="s">
        <v>470</v>
      </c>
      <c r="KEK335" s="301" t="s">
        <v>470</v>
      </c>
      <c r="KEL335" s="301" t="s">
        <v>470</v>
      </c>
      <c r="KEM335" s="301" t="s">
        <v>470</v>
      </c>
      <c r="KEN335" s="301" t="s">
        <v>470</v>
      </c>
      <c r="KEO335" s="301" t="s">
        <v>470</v>
      </c>
      <c r="KEP335" s="301" t="s">
        <v>470</v>
      </c>
      <c r="KEQ335" s="301" t="s">
        <v>470</v>
      </c>
      <c r="KER335" s="301" t="s">
        <v>470</v>
      </c>
      <c r="KES335" s="301" t="s">
        <v>470</v>
      </c>
      <c r="KET335" s="301" t="s">
        <v>470</v>
      </c>
      <c r="KEU335" s="301" t="s">
        <v>470</v>
      </c>
      <c r="KEV335" s="301" t="s">
        <v>470</v>
      </c>
      <c r="KEW335" s="301" t="s">
        <v>470</v>
      </c>
      <c r="KEX335" s="301" t="s">
        <v>470</v>
      </c>
      <c r="KEY335" s="301" t="s">
        <v>470</v>
      </c>
      <c r="KEZ335" s="301" t="s">
        <v>470</v>
      </c>
      <c r="KFA335" s="301" t="s">
        <v>470</v>
      </c>
      <c r="KFB335" s="301" t="s">
        <v>470</v>
      </c>
      <c r="KFC335" s="301" t="s">
        <v>470</v>
      </c>
      <c r="KFD335" s="301" t="s">
        <v>470</v>
      </c>
      <c r="KFE335" s="301" t="s">
        <v>470</v>
      </c>
      <c r="KFF335" s="301" t="s">
        <v>470</v>
      </c>
      <c r="KFG335" s="301" t="s">
        <v>470</v>
      </c>
      <c r="KFH335" s="301" t="s">
        <v>470</v>
      </c>
      <c r="KFI335" s="301" t="s">
        <v>470</v>
      </c>
      <c r="KFJ335" s="301" t="s">
        <v>470</v>
      </c>
      <c r="KFK335" s="301" t="s">
        <v>470</v>
      </c>
      <c r="KFL335" s="301" t="s">
        <v>470</v>
      </c>
      <c r="KFM335" s="301" t="s">
        <v>470</v>
      </c>
      <c r="KFN335" s="301" t="s">
        <v>470</v>
      </c>
      <c r="KFO335" s="301" t="s">
        <v>470</v>
      </c>
      <c r="KFP335" s="301" t="s">
        <v>470</v>
      </c>
      <c r="KFQ335" s="301" t="s">
        <v>470</v>
      </c>
      <c r="KFR335" s="301" t="s">
        <v>470</v>
      </c>
      <c r="KFS335" s="301" t="s">
        <v>470</v>
      </c>
      <c r="KFT335" s="301" t="s">
        <v>470</v>
      </c>
      <c r="KFU335" s="301" t="s">
        <v>470</v>
      </c>
      <c r="KFV335" s="301" t="s">
        <v>470</v>
      </c>
      <c r="KFW335" s="301" t="s">
        <v>470</v>
      </c>
      <c r="KFX335" s="301" t="s">
        <v>470</v>
      </c>
      <c r="KFY335" s="301" t="s">
        <v>470</v>
      </c>
      <c r="KFZ335" s="301" t="s">
        <v>470</v>
      </c>
      <c r="KGA335" s="301" t="s">
        <v>470</v>
      </c>
      <c r="KGB335" s="301" t="s">
        <v>470</v>
      </c>
      <c r="KGC335" s="301" t="s">
        <v>470</v>
      </c>
      <c r="KGD335" s="301" t="s">
        <v>470</v>
      </c>
      <c r="KGE335" s="301" t="s">
        <v>470</v>
      </c>
      <c r="KGF335" s="301" t="s">
        <v>470</v>
      </c>
      <c r="KGG335" s="301" t="s">
        <v>470</v>
      </c>
      <c r="KGH335" s="301" t="s">
        <v>470</v>
      </c>
      <c r="KGI335" s="301" t="s">
        <v>470</v>
      </c>
      <c r="KGJ335" s="301" t="s">
        <v>470</v>
      </c>
      <c r="KGK335" s="301" t="s">
        <v>470</v>
      </c>
      <c r="KGL335" s="301" t="s">
        <v>470</v>
      </c>
      <c r="KGM335" s="301" t="s">
        <v>470</v>
      </c>
      <c r="KGN335" s="301" t="s">
        <v>470</v>
      </c>
      <c r="KGO335" s="301" t="s">
        <v>470</v>
      </c>
      <c r="KGP335" s="301" t="s">
        <v>470</v>
      </c>
      <c r="KGQ335" s="301" t="s">
        <v>470</v>
      </c>
      <c r="KGR335" s="301" t="s">
        <v>470</v>
      </c>
      <c r="KGS335" s="301" t="s">
        <v>470</v>
      </c>
      <c r="KGT335" s="301" t="s">
        <v>470</v>
      </c>
      <c r="KGU335" s="301" t="s">
        <v>470</v>
      </c>
      <c r="KGV335" s="301" t="s">
        <v>470</v>
      </c>
      <c r="KGW335" s="301" t="s">
        <v>470</v>
      </c>
      <c r="KGX335" s="301" t="s">
        <v>470</v>
      </c>
      <c r="KGY335" s="301" t="s">
        <v>470</v>
      </c>
      <c r="KGZ335" s="301" t="s">
        <v>470</v>
      </c>
      <c r="KHA335" s="301" t="s">
        <v>470</v>
      </c>
      <c r="KHB335" s="301" t="s">
        <v>470</v>
      </c>
      <c r="KHC335" s="301" t="s">
        <v>470</v>
      </c>
      <c r="KHD335" s="301" t="s">
        <v>470</v>
      </c>
      <c r="KHE335" s="301" t="s">
        <v>470</v>
      </c>
      <c r="KHF335" s="301" t="s">
        <v>470</v>
      </c>
      <c r="KHG335" s="301" t="s">
        <v>470</v>
      </c>
      <c r="KHH335" s="301" t="s">
        <v>470</v>
      </c>
      <c r="KHI335" s="301" t="s">
        <v>470</v>
      </c>
      <c r="KHJ335" s="301" t="s">
        <v>470</v>
      </c>
      <c r="KHK335" s="301" t="s">
        <v>470</v>
      </c>
      <c r="KHL335" s="301" t="s">
        <v>470</v>
      </c>
      <c r="KHM335" s="301" t="s">
        <v>470</v>
      </c>
      <c r="KHN335" s="301" t="s">
        <v>470</v>
      </c>
      <c r="KHO335" s="301" t="s">
        <v>470</v>
      </c>
      <c r="KHP335" s="301" t="s">
        <v>470</v>
      </c>
      <c r="KHQ335" s="301" t="s">
        <v>470</v>
      </c>
      <c r="KHR335" s="301" t="s">
        <v>470</v>
      </c>
      <c r="KHS335" s="301" t="s">
        <v>470</v>
      </c>
      <c r="KHT335" s="301" t="s">
        <v>470</v>
      </c>
      <c r="KHU335" s="301" t="s">
        <v>470</v>
      </c>
      <c r="KHV335" s="301" t="s">
        <v>470</v>
      </c>
      <c r="KHW335" s="301" t="s">
        <v>470</v>
      </c>
      <c r="KHX335" s="301" t="s">
        <v>470</v>
      </c>
      <c r="KHY335" s="301" t="s">
        <v>470</v>
      </c>
      <c r="KHZ335" s="301" t="s">
        <v>470</v>
      </c>
      <c r="KIA335" s="301" t="s">
        <v>470</v>
      </c>
      <c r="KIB335" s="301" t="s">
        <v>470</v>
      </c>
      <c r="KIC335" s="301" t="s">
        <v>470</v>
      </c>
      <c r="KID335" s="301" t="s">
        <v>470</v>
      </c>
      <c r="KIE335" s="301" t="s">
        <v>470</v>
      </c>
      <c r="KIF335" s="301" t="s">
        <v>470</v>
      </c>
      <c r="KIG335" s="301" t="s">
        <v>470</v>
      </c>
      <c r="KIH335" s="301" t="s">
        <v>470</v>
      </c>
      <c r="KII335" s="301" t="s">
        <v>470</v>
      </c>
      <c r="KIJ335" s="301" t="s">
        <v>470</v>
      </c>
      <c r="KIK335" s="301" t="s">
        <v>470</v>
      </c>
      <c r="KIL335" s="301" t="s">
        <v>470</v>
      </c>
      <c r="KIM335" s="301" t="s">
        <v>470</v>
      </c>
      <c r="KIN335" s="301" t="s">
        <v>470</v>
      </c>
      <c r="KIO335" s="301" t="s">
        <v>470</v>
      </c>
      <c r="KIP335" s="301" t="s">
        <v>470</v>
      </c>
      <c r="KIQ335" s="301" t="s">
        <v>470</v>
      </c>
      <c r="KIR335" s="301" t="s">
        <v>470</v>
      </c>
      <c r="KIS335" s="301" t="s">
        <v>470</v>
      </c>
      <c r="KIT335" s="301" t="s">
        <v>470</v>
      </c>
      <c r="KIU335" s="301" t="s">
        <v>470</v>
      </c>
      <c r="KIV335" s="301" t="s">
        <v>470</v>
      </c>
      <c r="KIW335" s="301" t="s">
        <v>470</v>
      </c>
      <c r="KIX335" s="301" t="s">
        <v>470</v>
      </c>
      <c r="KIY335" s="301" t="s">
        <v>470</v>
      </c>
      <c r="KIZ335" s="301" t="s">
        <v>470</v>
      </c>
      <c r="KJA335" s="301" t="s">
        <v>470</v>
      </c>
      <c r="KJB335" s="301" t="s">
        <v>470</v>
      </c>
      <c r="KJC335" s="301" t="s">
        <v>470</v>
      </c>
      <c r="KJD335" s="301" t="s">
        <v>470</v>
      </c>
      <c r="KJE335" s="301" t="s">
        <v>470</v>
      </c>
      <c r="KJF335" s="301" t="s">
        <v>470</v>
      </c>
      <c r="KJG335" s="301" t="s">
        <v>470</v>
      </c>
      <c r="KJH335" s="301" t="s">
        <v>470</v>
      </c>
      <c r="KJI335" s="301" t="s">
        <v>470</v>
      </c>
      <c r="KJJ335" s="301" t="s">
        <v>470</v>
      </c>
      <c r="KJK335" s="301" t="s">
        <v>470</v>
      </c>
      <c r="KJL335" s="301" t="s">
        <v>470</v>
      </c>
      <c r="KJM335" s="301" t="s">
        <v>470</v>
      </c>
      <c r="KJN335" s="301" t="s">
        <v>470</v>
      </c>
      <c r="KJO335" s="301" t="s">
        <v>470</v>
      </c>
      <c r="KJP335" s="301" t="s">
        <v>470</v>
      </c>
      <c r="KJQ335" s="301" t="s">
        <v>470</v>
      </c>
      <c r="KJR335" s="301" t="s">
        <v>470</v>
      </c>
      <c r="KJS335" s="301" t="s">
        <v>470</v>
      </c>
      <c r="KJT335" s="301" t="s">
        <v>470</v>
      </c>
      <c r="KJU335" s="301" t="s">
        <v>470</v>
      </c>
      <c r="KJV335" s="301" t="s">
        <v>470</v>
      </c>
      <c r="KJW335" s="301" t="s">
        <v>470</v>
      </c>
      <c r="KJX335" s="301" t="s">
        <v>470</v>
      </c>
      <c r="KJY335" s="301" t="s">
        <v>470</v>
      </c>
      <c r="KJZ335" s="301" t="s">
        <v>470</v>
      </c>
      <c r="KKA335" s="301" t="s">
        <v>470</v>
      </c>
      <c r="KKB335" s="301" t="s">
        <v>470</v>
      </c>
      <c r="KKC335" s="301" t="s">
        <v>470</v>
      </c>
      <c r="KKD335" s="301" t="s">
        <v>470</v>
      </c>
      <c r="KKE335" s="301" t="s">
        <v>470</v>
      </c>
      <c r="KKF335" s="301" t="s">
        <v>470</v>
      </c>
      <c r="KKG335" s="301" t="s">
        <v>470</v>
      </c>
      <c r="KKH335" s="301" t="s">
        <v>470</v>
      </c>
      <c r="KKI335" s="301" t="s">
        <v>470</v>
      </c>
      <c r="KKJ335" s="301" t="s">
        <v>470</v>
      </c>
      <c r="KKK335" s="301" t="s">
        <v>470</v>
      </c>
      <c r="KKL335" s="301" t="s">
        <v>470</v>
      </c>
      <c r="KKM335" s="301" t="s">
        <v>470</v>
      </c>
      <c r="KKN335" s="301" t="s">
        <v>470</v>
      </c>
      <c r="KKO335" s="301" t="s">
        <v>470</v>
      </c>
      <c r="KKP335" s="301" t="s">
        <v>470</v>
      </c>
      <c r="KKQ335" s="301" t="s">
        <v>470</v>
      </c>
      <c r="KKR335" s="301" t="s">
        <v>470</v>
      </c>
      <c r="KKS335" s="301" t="s">
        <v>470</v>
      </c>
      <c r="KKT335" s="301" t="s">
        <v>470</v>
      </c>
      <c r="KKU335" s="301" t="s">
        <v>470</v>
      </c>
      <c r="KKV335" s="301" t="s">
        <v>470</v>
      </c>
      <c r="KKW335" s="301" t="s">
        <v>470</v>
      </c>
      <c r="KKX335" s="301" t="s">
        <v>470</v>
      </c>
      <c r="KKY335" s="301" t="s">
        <v>470</v>
      </c>
      <c r="KKZ335" s="301" t="s">
        <v>470</v>
      </c>
      <c r="KLA335" s="301" t="s">
        <v>470</v>
      </c>
      <c r="KLB335" s="301" t="s">
        <v>470</v>
      </c>
      <c r="KLC335" s="301" t="s">
        <v>470</v>
      </c>
      <c r="KLD335" s="301" t="s">
        <v>470</v>
      </c>
      <c r="KLE335" s="301" t="s">
        <v>470</v>
      </c>
      <c r="KLF335" s="301" t="s">
        <v>470</v>
      </c>
      <c r="KLG335" s="301" t="s">
        <v>470</v>
      </c>
      <c r="KLH335" s="301" t="s">
        <v>470</v>
      </c>
      <c r="KLI335" s="301" t="s">
        <v>470</v>
      </c>
      <c r="KLJ335" s="301" t="s">
        <v>470</v>
      </c>
      <c r="KLK335" s="301" t="s">
        <v>470</v>
      </c>
      <c r="KLL335" s="301" t="s">
        <v>470</v>
      </c>
      <c r="KLM335" s="301" t="s">
        <v>470</v>
      </c>
      <c r="KLN335" s="301" t="s">
        <v>470</v>
      </c>
      <c r="KLO335" s="301" t="s">
        <v>470</v>
      </c>
      <c r="KLP335" s="301" t="s">
        <v>470</v>
      </c>
      <c r="KLQ335" s="301" t="s">
        <v>470</v>
      </c>
      <c r="KLR335" s="301" t="s">
        <v>470</v>
      </c>
      <c r="KLS335" s="301" t="s">
        <v>470</v>
      </c>
      <c r="KLT335" s="301" t="s">
        <v>470</v>
      </c>
      <c r="KLU335" s="301" t="s">
        <v>470</v>
      </c>
      <c r="KLV335" s="301" t="s">
        <v>470</v>
      </c>
      <c r="KLW335" s="301" t="s">
        <v>470</v>
      </c>
      <c r="KLX335" s="301" t="s">
        <v>470</v>
      </c>
      <c r="KLY335" s="301" t="s">
        <v>470</v>
      </c>
      <c r="KLZ335" s="301" t="s">
        <v>470</v>
      </c>
      <c r="KMA335" s="301" t="s">
        <v>470</v>
      </c>
      <c r="KMB335" s="301" t="s">
        <v>470</v>
      </c>
      <c r="KMC335" s="301" t="s">
        <v>470</v>
      </c>
      <c r="KMD335" s="301" t="s">
        <v>470</v>
      </c>
      <c r="KME335" s="301" t="s">
        <v>470</v>
      </c>
      <c r="KMF335" s="301" t="s">
        <v>470</v>
      </c>
      <c r="KMG335" s="301" t="s">
        <v>470</v>
      </c>
      <c r="KMH335" s="301" t="s">
        <v>470</v>
      </c>
      <c r="KMI335" s="301" t="s">
        <v>470</v>
      </c>
      <c r="KMJ335" s="301" t="s">
        <v>470</v>
      </c>
      <c r="KMK335" s="301" t="s">
        <v>470</v>
      </c>
      <c r="KML335" s="301" t="s">
        <v>470</v>
      </c>
      <c r="KMM335" s="301" t="s">
        <v>470</v>
      </c>
      <c r="KMN335" s="301" t="s">
        <v>470</v>
      </c>
      <c r="KMO335" s="301" t="s">
        <v>470</v>
      </c>
      <c r="KMP335" s="301" t="s">
        <v>470</v>
      </c>
      <c r="KMQ335" s="301" t="s">
        <v>470</v>
      </c>
      <c r="KMR335" s="301" t="s">
        <v>470</v>
      </c>
      <c r="KMS335" s="301" t="s">
        <v>470</v>
      </c>
      <c r="KMT335" s="301" t="s">
        <v>470</v>
      </c>
      <c r="KMU335" s="301" t="s">
        <v>470</v>
      </c>
      <c r="KMV335" s="301" t="s">
        <v>470</v>
      </c>
      <c r="KMW335" s="301" t="s">
        <v>470</v>
      </c>
      <c r="KMX335" s="301" t="s">
        <v>470</v>
      </c>
      <c r="KMY335" s="301" t="s">
        <v>470</v>
      </c>
      <c r="KMZ335" s="301" t="s">
        <v>470</v>
      </c>
      <c r="KNA335" s="301" t="s">
        <v>470</v>
      </c>
      <c r="KNB335" s="301" t="s">
        <v>470</v>
      </c>
      <c r="KNC335" s="301" t="s">
        <v>470</v>
      </c>
      <c r="KND335" s="301" t="s">
        <v>470</v>
      </c>
      <c r="KNE335" s="301" t="s">
        <v>470</v>
      </c>
      <c r="KNF335" s="301" t="s">
        <v>470</v>
      </c>
      <c r="KNG335" s="301" t="s">
        <v>470</v>
      </c>
      <c r="KNH335" s="301" t="s">
        <v>470</v>
      </c>
      <c r="KNI335" s="301" t="s">
        <v>470</v>
      </c>
      <c r="KNJ335" s="301" t="s">
        <v>470</v>
      </c>
      <c r="KNK335" s="301" t="s">
        <v>470</v>
      </c>
      <c r="KNL335" s="301" t="s">
        <v>470</v>
      </c>
      <c r="KNM335" s="301" t="s">
        <v>470</v>
      </c>
      <c r="KNN335" s="301" t="s">
        <v>470</v>
      </c>
      <c r="KNO335" s="301" t="s">
        <v>470</v>
      </c>
      <c r="KNP335" s="301" t="s">
        <v>470</v>
      </c>
      <c r="KNQ335" s="301" t="s">
        <v>470</v>
      </c>
      <c r="KNR335" s="301" t="s">
        <v>470</v>
      </c>
      <c r="KNS335" s="301" t="s">
        <v>470</v>
      </c>
      <c r="KNT335" s="301" t="s">
        <v>470</v>
      </c>
      <c r="KNU335" s="301" t="s">
        <v>470</v>
      </c>
      <c r="KNV335" s="301" t="s">
        <v>470</v>
      </c>
      <c r="KNW335" s="301" t="s">
        <v>470</v>
      </c>
      <c r="KNX335" s="301" t="s">
        <v>470</v>
      </c>
      <c r="KNY335" s="301" t="s">
        <v>470</v>
      </c>
      <c r="KNZ335" s="301" t="s">
        <v>470</v>
      </c>
      <c r="KOA335" s="301" t="s">
        <v>470</v>
      </c>
      <c r="KOB335" s="301" t="s">
        <v>470</v>
      </c>
      <c r="KOC335" s="301" t="s">
        <v>470</v>
      </c>
      <c r="KOD335" s="301" t="s">
        <v>470</v>
      </c>
      <c r="KOE335" s="301" t="s">
        <v>470</v>
      </c>
      <c r="KOF335" s="301" t="s">
        <v>470</v>
      </c>
      <c r="KOG335" s="301" t="s">
        <v>470</v>
      </c>
      <c r="KOH335" s="301" t="s">
        <v>470</v>
      </c>
      <c r="KOI335" s="301" t="s">
        <v>470</v>
      </c>
      <c r="KOJ335" s="301" t="s">
        <v>470</v>
      </c>
      <c r="KOK335" s="301" t="s">
        <v>470</v>
      </c>
      <c r="KOL335" s="301" t="s">
        <v>470</v>
      </c>
      <c r="KOM335" s="301" t="s">
        <v>470</v>
      </c>
      <c r="KON335" s="301" t="s">
        <v>470</v>
      </c>
      <c r="KOO335" s="301" t="s">
        <v>470</v>
      </c>
      <c r="KOP335" s="301" t="s">
        <v>470</v>
      </c>
      <c r="KOQ335" s="301" t="s">
        <v>470</v>
      </c>
      <c r="KOR335" s="301" t="s">
        <v>470</v>
      </c>
      <c r="KOS335" s="301" t="s">
        <v>470</v>
      </c>
      <c r="KOT335" s="301" t="s">
        <v>470</v>
      </c>
      <c r="KOU335" s="301" t="s">
        <v>470</v>
      </c>
      <c r="KOV335" s="301" t="s">
        <v>470</v>
      </c>
      <c r="KOW335" s="301" t="s">
        <v>470</v>
      </c>
      <c r="KOX335" s="301" t="s">
        <v>470</v>
      </c>
      <c r="KOY335" s="301" t="s">
        <v>470</v>
      </c>
      <c r="KOZ335" s="301" t="s">
        <v>470</v>
      </c>
      <c r="KPA335" s="301" t="s">
        <v>470</v>
      </c>
      <c r="KPB335" s="301" t="s">
        <v>470</v>
      </c>
      <c r="KPC335" s="301" t="s">
        <v>470</v>
      </c>
      <c r="KPD335" s="301" t="s">
        <v>470</v>
      </c>
      <c r="KPE335" s="301" t="s">
        <v>470</v>
      </c>
      <c r="KPF335" s="301" t="s">
        <v>470</v>
      </c>
      <c r="KPG335" s="301" t="s">
        <v>470</v>
      </c>
      <c r="KPH335" s="301" t="s">
        <v>470</v>
      </c>
      <c r="KPI335" s="301" t="s">
        <v>470</v>
      </c>
      <c r="KPJ335" s="301" t="s">
        <v>470</v>
      </c>
      <c r="KPK335" s="301" t="s">
        <v>470</v>
      </c>
      <c r="KPL335" s="301" t="s">
        <v>470</v>
      </c>
      <c r="KPM335" s="301" t="s">
        <v>470</v>
      </c>
      <c r="KPN335" s="301" t="s">
        <v>470</v>
      </c>
      <c r="KPO335" s="301" t="s">
        <v>470</v>
      </c>
      <c r="KPP335" s="301" t="s">
        <v>470</v>
      </c>
      <c r="KPQ335" s="301" t="s">
        <v>470</v>
      </c>
      <c r="KPR335" s="301" t="s">
        <v>470</v>
      </c>
      <c r="KPS335" s="301" t="s">
        <v>470</v>
      </c>
      <c r="KPT335" s="301" t="s">
        <v>470</v>
      </c>
      <c r="KPU335" s="301" t="s">
        <v>470</v>
      </c>
      <c r="KPV335" s="301" t="s">
        <v>470</v>
      </c>
      <c r="KPW335" s="301" t="s">
        <v>470</v>
      </c>
      <c r="KPX335" s="301" t="s">
        <v>470</v>
      </c>
      <c r="KPY335" s="301" t="s">
        <v>470</v>
      </c>
      <c r="KPZ335" s="301" t="s">
        <v>470</v>
      </c>
      <c r="KQA335" s="301" t="s">
        <v>470</v>
      </c>
      <c r="KQB335" s="301" t="s">
        <v>470</v>
      </c>
      <c r="KQC335" s="301" t="s">
        <v>470</v>
      </c>
      <c r="KQD335" s="301" t="s">
        <v>470</v>
      </c>
      <c r="KQE335" s="301" t="s">
        <v>470</v>
      </c>
      <c r="KQF335" s="301" t="s">
        <v>470</v>
      </c>
      <c r="KQG335" s="301" t="s">
        <v>470</v>
      </c>
      <c r="KQH335" s="301" t="s">
        <v>470</v>
      </c>
      <c r="KQI335" s="301" t="s">
        <v>470</v>
      </c>
      <c r="KQJ335" s="301" t="s">
        <v>470</v>
      </c>
      <c r="KQK335" s="301" t="s">
        <v>470</v>
      </c>
      <c r="KQL335" s="301" t="s">
        <v>470</v>
      </c>
      <c r="KQM335" s="301" t="s">
        <v>470</v>
      </c>
      <c r="KQN335" s="301" t="s">
        <v>470</v>
      </c>
      <c r="KQO335" s="301" t="s">
        <v>470</v>
      </c>
      <c r="KQP335" s="301" t="s">
        <v>470</v>
      </c>
      <c r="KQQ335" s="301" t="s">
        <v>470</v>
      </c>
      <c r="KQR335" s="301" t="s">
        <v>470</v>
      </c>
      <c r="KQS335" s="301" t="s">
        <v>470</v>
      </c>
      <c r="KQT335" s="301" t="s">
        <v>470</v>
      </c>
      <c r="KQU335" s="301" t="s">
        <v>470</v>
      </c>
      <c r="KQV335" s="301" t="s">
        <v>470</v>
      </c>
      <c r="KQW335" s="301" t="s">
        <v>470</v>
      </c>
      <c r="KQX335" s="301" t="s">
        <v>470</v>
      </c>
      <c r="KQY335" s="301" t="s">
        <v>470</v>
      </c>
      <c r="KQZ335" s="301" t="s">
        <v>470</v>
      </c>
      <c r="KRA335" s="301" t="s">
        <v>470</v>
      </c>
      <c r="KRB335" s="301" t="s">
        <v>470</v>
      </c>
      <c r="KRC335" s="301" t="s">
        <v>470</v>
      </c>
      <c r="KRD335" s="301" t="s">
        <v>470</v>
      </c>
      <c r="KRE335" s="301" t="s">
        <v>470</v>
      </c>
      <c r="KRF335" s="301" t="s">
        <v>470</v>
      </c>
      <c r="KRG335" s="301" t="s">
        <v>470</v>
      </c>
      <c r="KRH335" s="301" t="s">
        <v>470</v>
      </c>
      <c r="KRI335" s="301" t="s">
        <v>470</v>
      </c>
      <c r="KRJ335" s="301" t="s">
        <v>470</v>
      </c>
      <c r="KRK335" s="301" t="s">
        <v>470</v>
      </c>
      <c r="KRL335" s="301" t="s">
        <v>470</v>
      </c>
      <c r="KRM335" s="301" t="s">
        <v>470</v>
      </c>
      <c r="KRN335" s="301" t="s">
        <v>470</v>
      </c>
      <c r="KRO335" s="301" t="s">
        <v>470</v>
      </c>
      <c r="KRP335" s="301" t="s">
        <v>470</v>
      </c>
      <c r="KRQ335" s="301" t="s">
        <v>470</v>
      </c>
      <c r="KRR335" s="301" t="s">
        <v>470</v>
      </c>
      <c r="KRS335" s="301" t="s">
        <v>470</v>
      </c>
      <c r="KRT335" s="301" t="s">
        <v>470</v>
      </c>
      <c r="KRU335" s="301" t="s">
        <v>470</v>
      </c>
      <c r="KRV335" s="301" t="s">
        <v>470</v>
      </c>
      <c r="KRW335" s="301" t="s">
        <v>470</v>
      </c>
      <c r="KRX335" s="301" t="s">
        <v>470</v>
      </c>
      <c r="KRY335" s="301" t="s">
        <v>470</v>
      </c>
      <c r="KRZ335" s="301" t="s">
        <v>470</v>
      </c>
      <c r="KSA335" s="301" t="s">
        <v>470</v>
      </c>
      <c r="KSB335" s="301" t="s">
        <v>470</v>
      </c>
      <c r="KSC335" s="301" t="s">
        <v>470</v>
      </c>
      <c r="KSD335" s="301" t="s">
        <v>470</v>
      </c>
      <c r="KSE335" s="301" t="s">
        <v>470</v>
      </c>
      <c r="KSF335" s="301" t="s">
        <v>470</v>
      </c>
      <c r="KSG335" s="301" t="s">
        <v>470</v>
      </c>
      <c r="KSH335" s="301" t="s">
        <v>470</v>
      </c>
      <c r="KSI335" s="301" t="s">
        <v>470</v>
      </c>
      <c r="KSJ335" s="301" t="s">
        <v>470</v>
      </c>
      <c r="KSK335" s="301" t="s">
        <v>470</v>
      </c>
      <c r="KSL335" s="301" t="s">
        <v>470</v>
      </c>
      <c r="KSM335" s="301" t="s">
        <v>470</v>
      </c>
      <c r="KSN335" s="301" t="s">
        <v>470</v>
      </c>
      <c r="KSO335" s="301" t="s">
        <v>470</v>
      </c>
      <c r="KSP335" s="301" t="s">
        <v>470</v>
      </c>
      <c r="KSQ335" s="301" t="s">
        <v>470</v>
      </c>
      <c r="KSR335" s="301" t="s">
        <v>470</v>
      </c>
      <c r="KSS335" s="301" t="s">
        <v>470</v>
      </c>
      <c r="KST335" s="301" t="s">
        <v>470</v>
      </c>
      <c r="KSU335" s="301" t="s">
        <v>470</v>
      </c>
      <c r="KSV335" s="301" t="s">
        <v>470</v>
      </c>
      <c r="KSW335" s="301" t="s">
        <v>470</v>
      </c>
      <c r="KSX335" s="301" t="s">
        <v>470</v>
      </c>
      <c r="KSY335" s="301" t="s">
        <v>470</v>
      </c>
      <c r="KSZ335" s="301" t="s">
        <v>470</v>
      </c>
      <c r="KTA335" s="301" t="s">
        <v>470</v>
      </c>
      <c r="KTB335" s="301" t="s">
        <v>470</v>
      </c>
      <c r="KTC335" s="301" t="s">
        <v>470</v>
      </c>
      <c r="KTD335" s="301" t="s">
        <v>470</v>
      </c>
      <c r="KTE335" s="301" t="s">
        <v>470</v>
      </c>
      <c r="KTF335" s="301" t="s">
        <v>470</v>
      </c>
      <c r="KTG335" s="301" t="s">
        <v>470</v>
      </c>
      <c r="KTH335" s="301" t="s">
        <v>470</v>
      </c>
      <c r="KTI335" s="301" t="s">
        <v>470</v>
      </c>
      <c r="KTJ335" s="301" t="s">
        <v>470</v>
      </c>
      <c r="KTK335" s="301" t="s">
        <v>470</v>
      </c>
      <c r="KTL335" s="301" t="s">
        <v>470</v>
      </c>
      <c r="KTM335" s="301" t="s">
        <v>470</v>
      </c>
      <c r="KTN335" s="301" t="s">
        <v>470</v>
      </c>
      <c r="KTO335" s="301" t="s">
        <v>470</v>
      </c>
      <c r="KTP335" s="301" t="s">
        <v>470</v>
      </c>
      <c r="KTQ335" s="301" t="s">
        <v>470</v>
      </c>
      <c r="KTR335" s="301" t="s">
        <v>470</v>
      </c>
      <c r="KTS335" s="301" t="s">
        <v>470</v>
      </c>
      <c r="KTT335" s="301" t="s">
        <v>470</v>
      </c>
      <c r="KTU335" s="301" t="s">
        <v>470</v>
      </c>
      <c r="KTV335" s="301" t="s">
        <v>470</v>
      </c>
      <c r="KTW335" s="301" t="s">
        <v>470</v>
      </c>
      <c r="KTX335" s="301" t="s">
        <v>470</v>
      </c>
      <c r="KTY335" s="301" t="s">
        <v>470</v>
      </c>
      <c r="KTZ335" s="301" t="s">
        <v>470</v>
      </c>
      <c r="KUA335" s="301" t="s">
        <v>470</v>
      </c>
      <c r="KUB335" s="301" t="s">
        <v>470</v>
      </c>
      <c r="KUC335" s="301" t="s">
        <v>470</v>
      </c>
      <c r="KUD335" s="301" t="s">
        <v>470</v>
      </c>
      <c r="KUE335" s="301" t="s">
        <v>470</v>
      </c>
      <c r="KUF335" s="301" t="s">
        <v>470</v>
      </c>
      <c r="KUG335" s="301" t="s">
        <v>470</v>
      </c>
      <c r="KUH335" s="301" t="s">
        <v>470</v>
      </c>
      <c r="KUI335" s="301" t="s">
        <v>470</v>
      </c>
      <c r="KUJ335" s="301" t="s">
        <v>470</v>
      </c>
      <c r="KUK335" s="301" t="s">
        <v>470</v>
      </c>
      <c r="KUL335" s="301" t="s">
        <v>470</v>
      </c>
      <c r="KUM335" s="301" t="s">
        <v>470</v>
      </c>
      <c r="KUN335" s="301" t="s">
        <v>470</v>
      </c>
      <c r="KUO335" s="301" t="s">
        <v>470</v>
      </c>
      <c r="KUP335" s="301" t="s">
        <v>470</v>
      </c>
      <c r="KUQ335" s="301" t="s">
        <v>470</v>
      </c>
      <c r="KUR335" s="301" t="s">
        <v>470</v>
      </c>
      <c r="KUS335" s="301" t="s">
        <v>470</v>
      </c>
      <c r="KUT335" s="301" t="s">
        <v>470</v>
      </c>
      <c r="KUU335" s="301" t="s">
        <v>470</v>
      </c>
      <c r="KUV335" s="301" t="s">
        <v>470</v>
      </c>
      <c r="KUW335" s="301" t="s">
        <v>470</v>
      </c>
      <c r="KUX335" s="301" t="s">
        <v>470</v>
      </c>
      <c r="KUY335" s="301" t="s">
        <v>470</v>
      </c>
      <c r="KUZ335" s="301" t="s">
        <v>470</v>
      </c>
      <c r="KVA335" s="301" t="s">
        <v>470</v>
      </c>
      <c r="KVB335" s="301" t="s">
        <v>470</v>
      </c>
      <c r="KVC335" s="301" t="s">
        <v>470</v>
      </c>
      <c r="KVD335" s="301" t="s">
        <v>470</v>
      </c>
      <c r="KVE335" s="301" t="s">
        <v>470</v>
      </c>
      <c r="KVF335" s="301" t="s">
        <v>470</v>
      </c>
      <c r="KVG335" s="301" t="s">
        <v>470</v>
      </c>
      <c r="KVH335" s="301" t="s">
        <v>470</v>
      </c>
      <c r="KVI335" s="301" t="s">
        <v>470</v>
      </c>
      <c r="KVJ335" s="301" t="s">
        <v>470</v>
      </c>
      <c r="KVK335" s="301" t="s">
        <v>470</v>
      </c>
      <c r="KVL335" s="301" t="s">
        <v>470</v>
      </c>
      <c r="KVM335" s="301" t="s">
        <v>470</v>
      </c>
      <c r="KVN335" s="301" t="s">
        <v>470</v>
      </c>
      <c r="KVO335" s="301" t="s">
        <v>470</v>
      </c>
      <c r="KVP335" s="301" t="s">
        <v>470</v>
      </c>
      <c r="KVQ335" s="301" t="s">
        <v>470</v>
      </c>
      <c r="KVR335" s="301" t="s">
        <v>470</v>
      </c>
      <c r="KVS335" s="301" t="s">
        <v>470</v>
      </c>
      <c r="KVT335" s="301" t="s">
        <v>470</v>
      </c>
      <c r="KVU335" s="301" t="s">
        <v>470</v>
      </c>
      <c r="KVV335" s="301" t="s">
        <v>470</v>
      </c>
      <c r="KVW335" s="301" t="s">
        <v>470</v>
      </c>
      <c r="KVX335" s="301" t="s">
        <v>470</v>
      </c>
      <c r="KVY335" s="301" t="s">
        <v>470</v>
      </c>
      <c r="KVZ335" s="301" t="s">
        <v>470</v>
      </c>
      <c r="KWA335" s="301" t="s">
        <v>470</v>
      </c>
      <c r="KWB335" s="301" t="s">
        <v>470</v>
      </c>
      <c r="KWC335" s="301" t="s">
        <v>470</v>
      </c>
      <c r="KWD335" s="301" t="s">
        <v>470</v>
      </c>
      <c r="KWE335" s="301" t="s">
        <v>470</v>
      </c>
      <c r="KWF335" s="301" t="s">
        <v>470</v>
      </c>
      <c r="KWG335" s="301" t="s">
        <v>470</v>
      </c>
      <c r="KWH335" s="301" t="s">
        <v>470</v>
      </c>
      <c r="KWI335" s="301" t="s">
        <v>470</v>
      </c>
      <c r="KWJ335" s="301" t="s">
        <v>470</v>
      </c>
      <c r="KWK335" s="301" t="s">
        <v>470</v>
      </c>
      <c r="KWL335" s="301" t="s">
        <v>470</v>
      </c>
      <c r="KWM335" s="301" t="s">
        <v>470</v>
      </c>
      <c r="KWN335" s="301" t="s">
        <v>470</v>
      </c>
      <c r="KWO335" s="301" t="s">
        <v>470</v>
      </c>
      <c r="KWP335" s="301" t="s">
        <v>470</v>
      </c>
      <c r="KWQ335" s="301" t="s">
        <v>470</v>
      </c>
      <c r="KWR335" s="301" t="s">
        <v>470</v>
      </c>
      <c r="KWS335" s="301" t="s">
        <v>470</v>
      </c>
      <c r="KWT335" s="301" t="s">
        <v>470</v>
      </c>
      <c r="KWU335" s="301" t="s">
        <v>470</v>
      </c>
      <c r="KWV335" s="301" t="s">
        <v>470</v>
      </c>
      <c r="KWW335" s="301" t="s">
        <v>470</v>
      </c>
      <c r="KWX335" s="301" t="s">
        <v>470</v>
      </c>
      <c r="KWY335" s="301" t="s">
        <v>470</v>
      </c>
      <c r="KWZ335" s="301" t="s">
        <v>470</v>
      </c>
      <c r="KXA335" s="301" t="s">
        <v>470</v>
      </c>
      <c r="KXB335" s="301" t="s">
        <v>470</v>
      </c>
      <c r="KXC335" s="301" t="s">
        <v>470</v>
      </c>
      <c r="KXD335" s="301" t="s">
        <v>470</v>
      </c>
      <c r="KXE335" s="301" t="s">
        <v>470</v>
      </c>
      <c r="KXF335" s="301" t="s">
        <v>470</v>
      </c>
      <c r="KXG335" s="301" t="s">
        <v>470</v>
      </c>
      <c r="KXH335" s="301" t="s">
        <v>470</v>
      </c>
      <c r="KXI335" s="301" t="s">
        <v>470</v>
      </c>
      <c r="KXJ335" s="301" t="s">
        <v>470</v>
      </c>
      <c r="KXK335" s="301" t="s">
        <v>470</v>
      </c>
      <c r="KXL335" s="301" t="s">
        <v>470</v>
      </c>
      <c r="KXM335" s="301" t="s">
        <v>470</v>
      </c>
      <c r="KXN335" s="301" t="s">
        <v>470</v>
      </c>
      <c r="KXO335" s="301" t="s">
        <v>470</v>
      </c>
      <c r="KXP335" s="301" t="s">
        <v>470</v>
      </c>
      <c r="KXQ335" s="301" t="s">
        <v>470</v>
      </c>
      <c r="KXR335" s="301" t="s">
        <v>470</v>
      </c>
      <c r="KXS335" s="301" t="s">
        <v>470</v>
      </c>
      <c r="KXT335" s="301" t="s">
        <v>470</v>
      </c>
      <c r="KXU335" s="301" t="s">
        <v>470</v>
      </c>
      <c r="KXV335" s="301" t="s">
        <v>470</v>
      </c>
      <c r="KXW335" s="301" t="s">
        <v>470</v>
      </c>
      <c r="KXX335" s="301" t="s">
        <v>470</v>
      </c>
      <c r="KXY335" s="301" t="s">
        <v>470</v>
      </c>
      <c r="KXZ335" s="301" t="s">
        <v>470</v>
      </c>
      <c r="KYA335" s="301" t="s">
        <v>470</v>
      </c>
      <c r="KYB335" s="301" t="s">
        <v>470</v>
      </c>
      <c r="KYC335" s="301" t="s">
        <v>470</v>
      </c>
      <c r="KYD335" s="301" t="s">
        <v>470</v>
      </c>
      <c r="KYE335" s="301" t="s">
        <v>470</v>
      </c>
      <c r="KYF335" s="301" t="s">
        <v>470</v>
      </c>
      <c r="KYG335" s="301" t="s">
        <v>470</v>
      </c>
      <c r="KYH335" s="301" t="s">
        <v>470</v>
      </c>
      <c r="KYI335" s="301" t="s">
        <v>470</v>
      </c>
      <c r="KYJ335" s="301" t="s">
        <v>470</v>
      </c>
      <c r="KYK335" s="301" t="s">
        <v>470</v>
      </c>
      <c r="KYL335" s="301" t="s">
        <v>470</v>
      </c>
      <c r="KYM335" s="301" t="s">
        <v>470</v>
      </c>
      <c r="KYN335" s="301" t="s">
        <v>470</v>
      </c>
      <c r="KYO335" s="301" t="s">
        <v>470</v>
      </c>
      <c r="KYP335" s="301" t="s">
        <v>470</v>
      </c>
      <c r="KYQ335" s="301" t="s">
        <v>470</v>
      </c>
      <c r="KYR335" s="301" t="s">
        <v>470</v>
      </c>
      <c r="KYS335" s="301" t="s">
        <v>470</v>
      </c>
      <c r="KYT335" s="301" t="s">
        <v>470</v>
      </c>
      <c r="KYU335" s="301" t="s">
        <v>470</v>
      </c>
      <c r="KYV335" s="301" t="s">
        <v>470</v>
      </c>
      <c r="KYW335" s="301" t="s">
        <v>470</v>
      </c>
      <c r="KYX335" s="301" t="s">
        <v>470</v>
      </c>
      <c r="KYY335" s="301" t="s">
        <v>470</v>
      </c>
      <c r="KYZ335" s="301" t="s">
        <v>470</v>
      </c>
      <c r="KZA335" s="301" t="s">
        <v>470</v>
      </c>
      <c r="KZB335" s="301" t="s">
        <v>470</v>
      </c>
      <c r="KZC335" s="301" t="s">
        <v>470</v>
      </c>
      <c r="KZD335" s="301" t="s">
        <v>470</v>
      </c>
      <c r="KZE335" s="301" t="s">
        <v>470</v>
      </c>
      <c r="KZF335" s="301" t="s">
        <v>470</v>
      </c>
      <c r="KZG335" s="301" t="s">
        <v>470</v>
      </c>
      <c r="KZH335" s="301" t="s">
        <v>470</v>
      </c>
      <c r="KZI335" s="301" t="s">
        <v>470</v>
      </c>
      <c r="KZJ335" s="301" t="s">
        <v>470</v>
      </c>
      <c r="KZK335" s="301" t="s">
        <v>470</v>
      </c>
      <c r="KZL335" s="301" t="s">
        <v>470</v>
      </c>
      <c r="KZM335" s="301" t="s">
        <v>470</v>
      </c>
      <c r="KZN335" s="301" t="s">
        <v>470</v>
      </c>
      <c r="KZO335" s="301" t="s">
        <v>470</v>
      </c>
      <c r="KZP335" s="301" t="s">
        <v>470</v>
      </c>
      <c r="KZQ335" s="301" t="s">
        <v>470</v>
      </c>
      <c r="KZR335" s="301" t="s">
        <v>470</v>
      </c>
      <c r="KZS335" s="301" t="s">
        <v>470</v>
      </c>
      <c r="KZT335" s="301" t="s">
        <v>470</v>
      </c>
      <c r="KZU335" s="301" t="s">
        <v>470</v>
      </c>
      <c r="KZV335" s="301" t="s">
        <v>470</v>
      </c>
      <c r="KZW335" s="301" t="s">
        <v>470</v>
      </c>
      <c r="KZX335" s="301" t="s">
        <v>470</v>
      </c>
      <c r="KZY335" s="301" t="s">
        <v>470</v>
      </c>
      <c r="KZZ335" s="301" t="s">
        <v>470</v>
      </c>
      <c r="LAA335" s="301" t="s">
        <v>470</v>
      </c>
      <c r="LAB335" s="301" t="s">
        <v>470</v>
      </c>
      <c r="LAC335" s="301" t="s">
        <v>470</v>
      </c>
      <c r="LAD335" s="301" t="s">
        <v>470</v>
      </c>
      <c r="LAE335" s="301" t="s">
        <v>470</v>
      </c>
      <c r="LAF335" s="301" t="s">
        <v>470</v>
      </c>
      <c r="LAG335" s="301" t="s">
        <v>470</v>
      </c>
      <c r="LAH335" s="301" t="s">
        <v>470</v>
      </c>
      <c r="LAI335" s="301" t="s">
        <v>470</v>
      </c>
      <c r="LAJ335" s="301" t="s">
        <v>470</v>
      </c>
      <c r="LAK335" s="301" t="s">
        <v>470</v>
      </c>
      <c r="LAL335" s="301" t="s">
        <v>470</v>
      </c>
      <c r="LAM335" s="301" t="s">
        <v>470</v>
      </c>
      <c r="LAN335" s="301" t="s">
        <v>470</v>
      </c>
      <c r="LAO335" s="301" t="s">
        <v>470</v>
      </c>
      <c r="LAP335" s="301" t="s">
        <v>470</v>
      </c>
      <c r="LAQ335" s="301" t="s">
        <v>470</v>
      </c>
      <c r="LAR335" s="301" t="s">
        <v>470</v>
      </c>
      <c r="LAS335" s="301" t="s">
        <v>470</v>
      </c>
      <c r="LAT335" s="301" t="s">
        <v>470</v>
      </c>
      <c r="LAU335" s="301" t="s">
        <v>470</v>
      </c>
      <c r="LAV335" s="301" t="s">
        <v>470</v>
      </c>
      <c r="LAW335" s="301" t="s">
        <v>470</v>
      </c>
      <c r="LAX335" s="301" t="s">
        <v>470</v>
      </c>
      <c r="LAY335" s="301" t="s">
        <v>470</v>
      </c>
      <c r="LAZ335" s="301" t="s">
        <v>470</v>
      </c>
      <c r="LBA335" s="301" t="s">
        <v>470</v>
      </c>
      <c r="LBB335" s="301" t="s">
        <v>470</v>
      </c>
      <c r="LBC335" s="301" t="s">
        <v>470</v>
      </c>
      <c r="LBD335" s="301" t="s">
        <v>470</v>
      </c>
      <c r="LBE335" s="301" t="s">
        <v>470</v>
      </c>
      <c r="LBF335" s="301" t="s">
        <v>470</v>
      </c>
      <c r="LBG335" s="301" t="s">
        <v>470</v>
      </c>
      <c r="LBH335" s="301" t="s">
        <v>470</v>
      </c>
      <c r="LBI335" s="301" t="s">
        <v>470</v>
      </c>
      <c r="LBJ335" s="301" t="s">
        <v>470</v>
      </c>
      <c r="LBK335" s="301" t="s">
        <v>470</v>
      </c>
      <c r="LBL335" s="301" t="s">
        <v>470</v>
      </c>
      <c r="LBM335" s="301" t="s">
        <v>470</v>
      </c>
      <c r="LBN335" s="301" t="s">
        <v>470</v>
      </c>
      <c r="LBO335" s="301" t="s">
        <v>470</v>
      </c>
      <c r="LBP335" s="301" t="s">
        <v>470</v>
      </c>
      <c r="LBQ335" s="301" t="s">
        <v>470</v>
      </c>
      <c r="LBR335" s="301" t="s">
        <v>470</v>
      </c>
      <c r="LBS335" s="301" t="s">
        <v>470</v>
      </c>
      <c r="LBT335" s="301" t="s">
        <v>470</v>
      </c>
      <c r="LBU335" s="301" t="s">
        <v>470</v>
      </c>
      <c r="LBV335" s="301" t="s">
        <v>470</v>
      </c>
      <c r="LBW335" s="301" t="s">
        <v>470</v>
      </c>
      <c r="LBX335" s="301" t="s">
        <v>470</v>
      </c>
      <c r="LBY335" s="301" t="s">
        <v>470</v>
      </c>
      <c r="LBZ335" s="301" t="s">
        <v>470</v>
      </c>
      <c r="LCA335" s="301" t="s">
        <v>470</v>
      </c>
      <c r="LCB335" s="301" t="s">
        <v>470</v>
      </c>
      <c r="LCC335" s="301" t="s">
        <v>470</v>
      </c>
      <c r="LCD335" s="301" t="s">
        <v>470</v>
      </c>
      <c r="LCE335" s="301" t="s">
        <v>470</v>
      </c>
      <c r="LCF335" s="301" t="s">
        <v>470</v>
      </c>
      <c r="LCG335" s="301" t="s">
        <v>470</v>
      </c>
      <c r="LCH335" s="301" t="s">
        <v>470</v>
      </c>
      <c r="LCI335" s="301" t="s">
        <v>470</v>
      </c>
      <c r="LCJ335" s="301" t="s">
        <v>470</v>
      </c>
      <c r="LCK335" s="301" t="s">
        <v>470</v>
      </c>
      <c r="LCL335" s="301" t="s">
        <v>470</v>
      </c>
      <c r="LCM335" s="301" t="s">
        <v>470</v>
      </c>
      <c r="LCN335" s="301" t="s">
        <v>470</v>
      </c>
      <c r="LCO335" s="301" t="s">
        <v>470</v>
      </c>
      <c r="LCP335" s="301" t="s">
        <v>470</v>
      </c>
      <c r="LCQ335" s="301" t="s">
        <v>470</v>
      </c>
      <c r="LCR335" s="301" t="s">
        <v>470</v>
      </c>
      <c r="LCS335" s="301" t="s">
        <v>470</v>
      </c>
      <c r="LCT335" s="301" t="s">
        <v>470</v>
      </c>
      <c r="LCU335" s="301" t="s">
        <v>470</v>
      </c>
      <c r="LCV335" s="301" t="s">
        <v>470</v>
      </c>
      <c r="LCW335" s="301" t="s">
        <v>470</v>
      </c>
      <c r="LCX335" s="301" t="s">
        <v>470</v>
      </c>
      <c r="LCY335" s="301" t="s">
        <v>470</v>
      </c>
      <c r="LCZ335" s="301" t="s">
        <v>470</v>
      </c>
      <c r="LDA335" s="301" t="s">
        <v>470</v>
      </c>
      <c r="LDB335" s="301" t="s">
        <v>470</v>
      </c>
      <c r="LDC335" s="301" t="s">
        <v>470</v>
      </c>
      <c r="LDD335" s="301" t="s">
        <v>470</v>
      </c>
      <c r="LDE335" s="301" t="s">
        <v>470</v>
      </c>
      <c r="LDF335" s="301" t="s">
        <v>470</v>
      </c>
      <c r="LDG335" s="301" t="s">
        <v>470</v>
      </c>
      <c r="LDH335" s="301" t="s">
        <v>470</v>
      </c>
      <c r="LDI335" s="301" t="s">
        <v>470</v>
      </c>
      <c r="LDJ335" s="301" t="s">
        <v>470</v>
      </c>
      <c r="LDK335" s="301" t="s">
        <v>470</v>
      </c>
      <c r="LDL335" s="301" t="s">
        <v>470</v>
      </c>
      <c r="LDM335" s="301" t="s">
        <v>470</v>
      </c>
      <c r="LDN335" s="301" t="s">
        <v>470</v>
      </c>
      <c r="LDO335" s="301" t="s">
        <v>470</v>
      </c>
      <c r="LDP335" s="301" t="s">
        <v>470</v>
      </c>
      <c r="LDQ335" s="301" t="s">
        <v>470</v>
      </c>
      <c r="LDR335" s="301" t="s">
        <v>470</v>
      </c>
      <c r="LDS335" s="301" t="s">
        <v>470</v>
      </c>
      <c r="LDT335" s="301" t="s">
        <v>470</v>
      </c>
      <c r="LDU335" s="301" t="s">
        <v>470</v>
      </c>
      <c r="LDV335" s="301" t="s">
        <v>470</v>
      </c>
      <c r="LDW335" s="301" t="s">
        <v>470</v>
      </c>
      <c r="LDX335" s="301" t="s">
        <v>470</v>
      </c>
      <c r="LDY335" s="301" t="s">
        <v>470</v>
      </c>
      <c r="LDZ335" s="301" t="s">
        <v>470</v>
      </c>
      <c r="LEA335" s="301" t="s">
        <v>470</v>
      </c>
      <c r="LEB335" s="301" t="s">
        <v>470</v>
      </c>
      <c r="LEC335" s="301" t="s">
        <v>470</v>
      </c>
      <c r="LED335" s="301" t="s">
        <v>470</v>
      </c>
      <c r="LEE335" s="301" t="s">
        <v>470</v>
      </c>
      <c r="LEF335" s="301" t="s">
        <v>470</v>
      </c>
      <c r="LEG335" s="301" t="s">
        <v>470</v>
      </c>
      <c r="LEH335" s="301" t="s">
        <v>470</v>
      </c>
      <c r="LEI335" s="301" t="s">
        <v>470</v>
      </c>
      <c r="LEJ335" s="301" t="s">
        <v>470</v>
      </c>
      <c r="LEK335" s="301" t="s">
        <v>470</v>
      </c>
      <c r="LEL335" s="301" t="s">
        <v>470</v>
      </c>
      <c r="LEM335" s="301" t="s">
        <v>470</v>
      </c>
      <c r="LEN335" s="301" t="s">
        <v>470</v>
      </c>
      <c r="LEO335" s="301" t="s">
        <v>470</v>
      </c>
      <c r="LEP335" s="301" t="s">
        <v>470</v>
      </c>
      <c r="LEQ335" s="301" t="s">
        <v>470</v>
      </c>
      <c r="LER335" s="301" t="s">
        <v>470</v>
      </c>
      <c r="LES335" s="301" t="s">
        <v>470</v>
      </c>
      <c r="LET335" s="301" t="s">
        <v>470</v>
      </c>
      <c r="LEU335" s="301" t="s">
        <v>470</v>
      </c>
      <c r="LEV335" s="301" t="s">
        <v>470</v>
      </c>
      <c r="LEW335" s="301" t="s">
        <v>470</v>
      </c>
      <c r="LEX335" s="301" t="s">
        <v>470</v>
      </c>
      <c r="LEY335" s="301" t="s">
        <v>470</v>
      </c>
      <c r="LEZ335" s="301" t="s">
        <v>470</v>
      </c>
      <c r="LFA335" s="301" t="s">
        <v>470</v>
      </c>
      <c r="LFB335" s="301" t="s">
        <v>470</v>
      </c>
      <c r="LFC335" s="301" t="s">
        <v>470</v>
      </c>
      <c r="LFD335" s="301" t="s">
        <v>470</v>
      </c>
      <c r="LFE335" s="301" t="s">
        <v>470</v>
      </c>
      <c r="LFF335" s="301" t="s">
        <v>470</v>
      </c>
      <c r="LFG335" s="301" t="s">
        <v>470</v>
      </c>
      <c r="LFH335" s="301" t="s">
        <v>470</v>
      </c>
      <c r="LFI335" s="301" t="s">
        <v>470</v>
      </c>
      <c r="LFJ335" s="301" t="s">
        <v>470</v>
      </c>
      <c r="LFK335" s="301" t="s">
        <v>470</v>
      </c>
      <c r="LFL335" s="301" t="s">
        <v>470</v>
      </c>
      <c r="LFM335" s="301" t="s">
        <v>470</v>
      </c>
      <c r="LFN335" s="301" t="s">
        <v>470</v>
      </c>
      <c r="LFO335" s="301" t="s">
        <v>470</v>
      </c>
      <c r="LFP335" s="301" t="s">
        <v>470</v>
      </c>
      <c r="LFQ335" s="301" t="s">
        <v>470</v>
      </c>
      <c r="LFR335" s="301" t="s">
        <v>470</v>
      </c>
      <c r="LFS335" s="301" t="s">
        <v>470</v>
      </c>
      <c r="LFT335" s="301" t="s">
        <v>470</v>
      </c>
      <c r="LFU335" s="301" t="s">
        <v>470</v>
      </c>
      <c r="LFV335" s="301" t="s">
        <v>470</v>
      </c>
      <c r="LFW335" s="301" t="s">
        <v>470</v>
      </c>
      <c r="LFX335" s="301" t="s">
        <v>470</v>
      </c>
      <c r="LFY335" s="301" t="s">
        <v>470</v>
      </c>
      <c r="LFZ335" s="301" t="s">
        <v>470</v>
      </c>
      <c r="LGA335" s="301" t="s">
        <v>470</v>
      </c>
      <c r="LGB335" s="301" t="s">
        <v>470</v>
      </c>
      <c r="LGC335" s="301" t="s">
        <v>470</v>
      </c>
      <c r="LGD335" s="301" t="s">
        <v>470</v>
      </c>
      <c r="LGE335" s="301" t="s">
        <v>470</v>
      </c>
      <c r="LGF335" s="301" t="s">
        <v>470</v>
      </c>
      <c r="LGG335" s="301" t="s">
        <v>470</v>
      </c>
      <c r="LGH335" s="301" t="s">
        <v>470</v>
      </c>
      <c r="LGI335" s="301" t="s">
        <v>470</v>
      </c>
      <c r="LGJ335" s="301" t="s">
        <v>470</v>
      </c>
      <c r="LGK335" s="301" t="s">
        <v>470</v>
      </c>
      <c r="LGL335" s="301" t="s">
        <v>470</v>
      </c>
      <c r="LGM335" s="301" t="s">
        <v>470</v>
      </c>
      <c r="LGN335" s="301" t="s">
        <v>470</v>
      </c>
      <c r="LGO335" s="301" t="s">
        <v>470</v>
      </c>
      <c r="LGP335" s="301" t="s">
        <v>470</v>
      </c>
      <c r="LGQ335" s="301" t="s">
        <v>470</v>
      </c>
      <c r="LGR335" s="301" t="s">
        <v>470</v>
      </c>
      <c r="LGS335" s="301" t="s">
        <v>470</v>
      </c>
      <c r="LGT335" s="301" t="s">
        <v>470</v>
      </c>
      <c r="LGU335" s="301" t="s">
        <v>470</v>
      </c>
      <c r="LGV335" s="301" t="s">
        <v>470</v>
      </c>
      <c r="LGW335" s="301" t="s">
        <v>470</v>
      </c>
      <c r="LGX335" s="301" t="s">
        <v>470</v>
      </c>
      <c r="LGY335" s="301" t="s">
        <v>470</v>
      </c>
      <c r="LGZ335" s="301" t="s">
        <v>470</v>
      </c>
      <c r="LHA335" s="301" t="s">
        <v>470</v>
      </c>
      <c r="LHB335" s="301" t="s">
        <v>470</v>
      </c>
      <c r="LHC335" s="301" t="s">
        <v>470</v>
      </c>
      <c r="LHD335" s="301" t="s">
        <v>470</v>
      </c>
      <c r="LHE335" s="301" t="s">
        <v>470</v>
      </c>
      <c r="LHF335" s="301" t="s">
        <v>470</v>
      </c>
      <c r="LHG335" s="301" t="s">
        <v>470</v>
      </c>
      <c r="LHH335" s="301" t="s">
        <v>470</v>
      </c>
      <c r="LHI335" s="301" t="s">
        <v>470</v>
      </c>
      <c r="LHJ335" s="301" t="s">
        <v>470</v>
      </c>
      <c r="LHK335" s="301" t="s">
        <v>470</v>
      </c>
      <c r="LHL335" s="301" t="s">
        <v>470</v>
      </c>
      <c r="LHM335" s="301" t="s">
        <v>470</v>
      </c>
      <c r="LHN335" s="301" t="s">
        <v>470</v>
      </c>
      <c r="LHO335" s="301" t="s">
        <v>470</v>
      </c>
      <c r="LHP335" s="301" t="s">
        <v>470</v>
      </c>
      <c r="LHQ335" s="301" t="s">
        <v>470</v>
      </c>
      <c r="LHR335" s="301" t="s">
        <v>470</v>
      </c>
      <c r="LHS335" s="301" t="s">
        <v>470</v>
      </c>
      <c r="LHT335" s="301" t="s">
        <v>470</v>
      </c>
      <c r="LHU335" s="301" t="s">
        <v>470</v>
      </c>
      <c r="LHV335" s="301" t="s">
        <v>470</v>
      </c>
      <c r="LHW335" s="301" t="s">
        <v>470</v>
      </c>
      <c r="LHX335" s="301" t="s">
        <v>470</v>
      </c>
      <c r="LHY335" s="301" t="s">
        <v>470</v>
      </c>
      <c r="LHZ335" s="301" t="s">
        <v>470</v>
      </c>
      <c r="LIA335" s="301" t="s">
        <v>470</v>
      </c>
      <c r="LIB335" s="301" t="s">
        <v>470</v>
      </c>
      <c r="LIC335" s="301" t="s">
        <v>470</v>
      </c>
      <c r="LID335" s="301" t="s">
        <v>470</v>
      </c>
      <c r="LIE335" s="301" t="s">
        <v>470</v>
      </c>
      <c r="LIF335" s="301" t="s">
        <v>470</v>
      </c>
      <c r="LIG335" s="301" t="s">
        <v>470</v>
      </c>
      <c r="LIH335" s="301" t="s">
        <v>470</v>
      </c>
      <c r="LII335" s="301" t="s">
        <v>470</v>
      </c>
      <c r="LIJ335" s="301" t="s">
        <v>470</v>
      </c>
      <c r="LIK335" s="301" t="s">
        <v>470</v>
      </c>
      <c r="LIL335" s="301" t="s">
        <v>470</v>
      </c>
      <c r="LIM335" s="301" t="s">
        <v>470</v>
      </c>
      <c r="LIN335" s="301" t="s">
        <v>470</v>
      </c>
      <c r="LIO335" s="301" t="s">
        <v>470</v>
      </c>
      <c r="LIP335" s="301" t="s">
        <v>470</v>
      </c>
      <c r="LIQ335" s="301" t="s">
        <v>470</v>
      </c>
      <c r="LIR335" s="301" t="s">
        <v>470</v>
      </c>
      <c r="LIS335" s="301" t="s">
        <v>470</v>
      </c>
      <c r="LIT335" s="301" t="s">
        <v>470</v>
      </c>
      <c r="LIU335" s="301" t="s">
        <v>470</v>
      </c>
      <c r="LIV335" s="301" t="s">
        <v>470</v>
      </c>
      <c r="LIW335" s="301" t="s">
        <v>470</v>
      </c>
      <c r="LIX335" s="301" t="s">
        <v>470</v>
      </c>
      <c r="LIY335" s="301" t="s">
        <v>470</v>
      </c>
      <c r="LIZ335" s="301" t="s">
        <v>470</v>
      </c>
      <c r="LJA335" s="301" t="s">
        <v>470</v>
      </c>
      <c r="LJB335" s="301" t="s">
        <v>470</v>
      </c>
      <c r="LJC335" s="301" t="s">
        <v>470</v>
      </c>
      <c r="LJD335" s="301" t="s">
        <v>470</v>
      </c>
      <c r="LJE335" s="301" t="s">
        <v>470</v>
      </c>
      <c r="LJF335" s="301" t="s">
        <v>470</v>
      </c>
      <c r="LJG335" s="301" t="s">
        <v>470</v>
      </c>
      <c r="LJH335" s="301" t="s">
        <v>470</v>
      </c>
      <c r="LJI335" s="301" t="s">
        <v>470</v>
      </c>
      <c r="LJJ335" s="301" t="s">
        <v>470</v>
      </c>
      <c r="LJK335" s="301" t="s">
        <v>470</v>
      </c>
      <c r="LJL335" s="301" t="s">
        <v>470</v>
      </c>
      <c r="LJM335" s="301" t="s">
        <v>470</v>
      </c>
      <c r="LJN335" s="301" t="s">
        <v>470</v>
      </c>
      <c r="LJO335" s="301" t="s">
        <v>470</v>
      </c>
      <c r="LJP335" s="301" t="s">
        <v>470</v>
      </c>
      <c r="LJQ335" s="301" t="s">
        <v>470</v>
      </c>
      <c r="LJR335" s="301" t="s">
        <v>470</v>
      </c>
      <c r="LJS335" s="301" t="s">
        <v>470</v>
      </c>
      <c r="LJT335" s="301" t="s">
        <v>470</v>
      </c>
      <c r="LJU335" s="301" t="s">
        <v>470</v>
      </c>
      <c r="LJV335" s="301" t="s">
        <v>470</v>
      </c>
      <c r="LJW335" s="301" t="s">
        <v>470</v>
      </c>
      <c r="LJX335" s="301" t="s">
        <v>470</v>
      </c>
      <c r="LJY335" s="301" t="s">
        <v>470</v>
      </c>
      <c r="LJZ335" s="301" t="s">
        <v>470</v>
      </c>
      <c r="LKA335" s="301" t="s">
        <v>470</v>
      </c>
      <c r="LKB335" s="301" t="s">
        <v>470</v>
      </c>
      <c r="LKC335" s="301" t="s">
        <v>470</v>
      </c>
      <c r="LKD335" s="301" t="s">
        <v>470</v>
      </c>
      <c r="LKE335" s="301" t="s">
        <v>470</v>
      </c>
      <c r="LKF335" s="301" t="s">
        <v>470</v>
      </c>
      <c r="LKG335" s="301" t="s">
        <v>470</v>
      </c>
      <c r="LKH335" s="301" t="s">
        <v>470</v>
      </c>
      <c r="LKI335" s="301" t="s">
        <v>470</v>
      </c>
      <c r="LKJ335" s="301" t="s">
        <v>470</v>
      </c>
      <c r="LKK335" s="301" t="s">
        <v>470</v>
      </c>
      <c r="LKL335" s="301" t="s">
        <v>470</v>
      </c>
      <c r="LKM335" s="301" t="s">
        <v>470</v>
      </c>
      <c r="LKN335" s="301" t="s">
        <v>470</v>
      </c>
      <c r="LKO335" s="301" t="s">
        <v>470</v>
      </c>
      <c r="LKP335" s="301" t="s">
        <v>470</v>
      </c>
      <c r="LKQ335" s="301" t="s">
        <v>470</v>
      </c>
      <c r="LKR335" s="301" t="s">
        <v>470</v>
      </c>
      <c r="LKS335" s="301" t="s">
        <v>470</v>
      </c>
      <c r="LKT335" s="301" t="s">
        <v>470</v>
      </c>
      <c r="LKU335" s="301" t="s">
        <v>470</v>
      </c>
      <c r="LKV335" s="301" t="s">
        <v>470</v>
      </c>
      <c r="LKW335" s="301" t="s">
        <v>470</v>
      </c>
      <c r="LKX335" s="301" t="s">
        <v>470</v>
      </c>
      <c r="LKY335" s="301" t="s">
        <v>470</v>
      </c>
      <c r="LKZ335" s="301" t="s">
        <v>470</v>
      </c>
      <c r="LLA335" s="301" t="s">
        <v>470</v>
      </c>
      <c r="LLB335" s="301" t="s">
        <v>470</v>
      </c>
      <c r="LLC335" s="301" t="s">
        <v>470</v>
      </c>
      <c r="LLD335" s="301" t="s">
        <v>470</v>
      </c>
      <c r="LLE335" s="301" t="s">
        <v>470</v>
      </c>
      <c r="LLF335" s="301" t="s">
        <v>470</v>
      </c>
      <c r="LLG335" s="301" t="s">
        <v>470</v>
      </c>
      <c r="LLH335" s="301" t="s">
        <v>470</v>
      </c>
      <c r="LLI335" s="301" t="s">
        <v>470</v>
      </c>
      <c r="LLJ335" s="301" t="s">
        <v>470</v>
      </c>
      <c r="LLK335" s="301" t="s">
        <v>470</v>
      </c>
      <c r="LLL335" s="301" t="s">
        <v>470</v>
      </c>
      <c r="LLM335" s="301" t="s">
        <v>470</v>
      </c>
      <c r="LLN335" s="301" t="s">
        <v>470</v>
      </c>
      <c r="LLO335" s="301" t="s">
        <v>470</v>
      </c>
      <c r="LLP335" s="301" t="s">
        <v>470</v>
      </c>
      <c r="LLQ335" s="301" t="s">
        <v>470</v>
      </c>
      <c r="LLR335" s="301" t="s">
        <v>470</v>
      </c>
      <c r="LLS335" s="301" t="s">
        <v>470</v>
      </c>
      <c r="LLT335" s="301" t="s">
        <v>470</v>
      </c>
      <c r="LLU335" s="301" t="s">
        <v>470</v>
      </c>
      <c r="LLV335" s="301" t="s">
        <v>470</v>
      </c>
      <c r="LLW335" s="301" t="s">
        <v>470</v>
      </c>
      <c r="LLX335" s="301" t="s">
        <v>470</v>
      </c>
      <c r="LLY335" s="301" t="s">
        <v>470</v>
      </c>
      <c r="LLZ335" s="301" t="s">
        <v>470</v>
      </c>
      <c r="LMA335" s="301" t="s">
        <v>470</v>
      </c>
      <c r="LMB335" s="301" t="s">
        <v>470</v>
      </c>
      <c r="LMC335" s="301" t="s">
        <v>470</v>
      </c>
      <c r="LMD335" s="301" t="s">
        <v>470</v>
      </c>
      <c r="LME335" s="301" t="s">
        <v>470</v>
      </c>
      <c r="LMF335" s="301" t="s">
        <v>470</v>
      </c>
      <c r="LMG335" s="301" t="s">
        <v>470</v>
      </c>
      <c r="LMH335" s="301" t="s">
        <v>470</v>
      </c>
      <c r="LMI335" s="301" t="s">
        <v>470</v>
      </c>
      <c r="LMJ335" s="301" t="s">
        <v>470</v>
      </c>
      <c r="LMK335" s="301" t="s">
        <v>470</v>
      </c>
      <c r="LML335" s="301" t="s">
        <v>470</v>
      </c>
      <c r="LMM335" s="301" t="s">
        <v>470</v>
      </c>
      <c r="LMN335" s="301" t="s">
        <v>470</v>
      </c>
      <c r="LMO335" s="301" t="s">
        <v>470</v>
      </c>
      <c r="LMP335" s="301" t="s">
        <v>470</v>
      </c>
      <c r="LMQ335" s="301" t="s">
        <v>470</v>
      </c>
      <c r="LMR335" s="301" t="s">
        <v>470</v>
      </c>
      <c r="LMS335" s="301" t="s">
        <v>470</v>
      </c>
      <c r="LMT335" s="301" t="s">
        <v>470</v>
      </c>
      <c r="LMU335" s="301" t="s">
        <v>470</v>
      </c>
      <c r="LMV335" s="301" t="s">
        <v>470</v>
      </c>
      <c r="LMW335" s="301" t="s">
        <v>470</v>
      </c>
      <c r="LMX335" s="301" t="s">
        <v>470</v>
      </c>
      <c r="LMY335" s="301" t="s">
        <v>470</v>
      </c>
      <c r="LMZ335" s="301" t="s">
        <v>470</v>
      </c>
      <c r="LNA335" s="301" t="s">
        <v>470</v>
      </c>
      <c r="LNB335" s="301" t="s">
        <v>470</v>
      </c>
      <c r="LNC335" s="301" t="s">
        <v>470</v>
      </c>
      <c r="LND335" s="301" t="s">
        <v>470</v>
      </c>
      <c r="LNE335" s="301" t="s">
        <v>470</v>
      </c>
      <c r="LNF335" s="301" t="s">
        <v>470</v>
      </c>
      <c r="LNG335" s="301" t="s">
        <v>470</v>
      </c>
      <c r="LNH335" s="301" t="s">
        <v>470</v>
      </c>
      <c r="LNI335" s="301" t="s">
        <v>470</v>
      </c>
      <c r="LNJ335" s="301" t="s">
        <v>470</v>
      </c>
      <c r="LNK335" s="301" t="s">
        <v>470</v>
      </c>
      <c r="LNL335" s="301" t="s">
        <v>470</v>
      </c>
      <c r="LNM335" s="301" t="s">
        <v>470</v>
      </c>
      <c r="LNN335" s="301" t="s">
        <v>470</v>
      </c>
      <c r="LNO335" s="301" t="s">
        <v>470</v>
      </c>
      <c r="LNP335" s="301" t="s">
        <v>470</v>
      </c>
      <c r="LNQ335" s="301" t="s">
        <v>470</v>
      </c>
      <c r="LNR335" s="301" t="s">
        <v>470</v>
      </c>
      <c r="LNS335" s="301" t="s">
        <v>470</v>
      </c>
      <c r="LNT335" s="301" t="s">
        <v>470</v>
      </c>
      <c r="LNU335" s="301" t="s">
        <v>470</v>
      </c>
      <c r="LNV335" s="301" t="s">
        <v>470</v>
      </c>
      <c r="LNW335" s="301" t="s">
        <v>470</v>
      </c>
      <c r="LNX335" s="301" t="s">
        <v>470</v>
      </c>
      <c r="LNY335" s="301" t="s">
        <v>470</v>
      </c>
      <c r="LNZ335" s="301" t="s">
        <v>470</v>
      </c>
      <c r="LOA335" s="301" t="s">
        <v>470</v>
      </c>
      <c r="LOB335" s="301" t="s">
        <v>470</v>
      </c>
      <c r="LOC335" s="301" t="s">
        <v>470</v>
      </c>
      <c r="LOD335" s="301" t="s">
        <v>470</v>
      </c>
      <c r="LOE335" s="301" t="s">
        <v>470</v>
      </c>
      <c r="LOF335" s="301" t="s">
        <v>470</v>
      </c>
      <c r="LOG335" s="301" t="s">
        <v>470</v>
      </c>
      <c r="LOH335" s="301" t="s">
        <v>470</v>
      </c>
      <c r="LOI335" s="301" t="s">
        <v>470</v>
      </c>
      <c r="LOJ335" s="301" t="s">
        <v>470</v>
      </c>
      <c r="LOK335" s="301" t="s">
        <v>470</v>
      </c>
      <c r="LOL335" s="301" t="s">
        <v>470</v>
      </c>
      <c r="LOM335" s="301" t="s">
        <v>470</v>
      </c>
      <c r="LON335" s="301" t="s">
        <v>470</v>
      </c>
      <c r="LOO335" s="301" t="s">
        <v>470</v>
      </c>
      <c r="LOP335" s="301" t="s">
        <v>470</v>
      </c>
      <c r="LOQ335" s="301" t="s">
        <v>470</v>
      </c>
      <c r="LOR335" s="301" t="s">
        <v>470</v>
      </c>
      <c r="LOS335" s="301" t="s">
        <v>470</v>
      </c>
      <c r="LOT335" s="301" t="s">
        <v>470</v>
      </c>
      <c r="LOU335" s="301" t="s">
        <v>470</v>
      </c>
      <c r="LOV335" s="301" t="s">
        <v>470</v>
      </c>
      <c r="LOW335" s="301" t="s">
        <v>470</v>
      </c>
      <c r="LOX335" s="301" t="s">
        <v>470</v>
      </c>
      <c r="LOY335" s="301" t="s">
        <v>470</v>
      </c>
      <c r="LOZ335" s="301" t="s">
        <v>470</v>
      </c>
      <c r="LPA335" s="301" t="s">
        <v>470</v>
      </c>
      <c r="LPB335" s="301" t="s">
        <v>470</v>
      </c>
      <c r="LPC335" s="301" t="s">
        <v>470</v>
      </c>
      <c r="LPD335" s="301" t="s">
        <v>470</v>
      </c>
      <c r="LPE335" s="301" t="s">
        <v>470</v>
      </c>
      <c r="LPF335" s="301" t="s">
        <v>470</v>
      </c>
      <c r="LPG335" s="301" t="s">
        <v>470</v>
      </c>
      <c r="LPH335" s="301" t="s">
        <v>470</v>
      </c>
      <c r="LPI335" s="301" t="s">
        <v>470</v>
      </c>
      <c r="LPJ335" s="301" t="s">
        <v>470</v>
      </c>
      <c r="LPK335" s="301" t="s">
        <v>470</v>
      </c>
      <c r="LPL335" s="301" t="s">
        <v>470</v>
      </c>
      <c r="LPM335" s="301" t="s">
        <v>470</v>
      </c>
      <c r="LPN335" s="301" t="s">
        <v>470</v>
      </c>
      <c r="LPO335" s="301" t="s">
        <v>470</v>
      </c>
      <c r="LPP335" s="301" t="s">
        <v>470</v>
      </c>
      <c r="LPQ335" s="301" t="s">
        <v>470</v>
      </c>
      <c r="LPR335" s="301" t="s">
        <v>470</v>
      </c>
      <c r="LPS335" s="301" t="s">
        <v>470</v>
      </c>
      <c r="LPT335" s="301" t="s">
        <v>470</v>
      </c>
      <c r="LPU335" s="301" t="s">
        <v>470</v>
      </c>
      <c r="LPV335" s="301" t="s">
        <v>470</v>
      </c>
      <c r="LPW335" s="301" t="s">
        <v>470</v>
      </c>
      <c r="LPX335" s="301" t="s">
        <v>470</v>
      </c>
      <c r="LPY335" s="301" t="s">
        <v>470</v>
      </c>
      <c r="LPZ335" s="301" t="s">
        <v>470</v>
      </c>
      <c r="LQA335" s="301" t="s">
        <v>470</v>
      </c>
      <c r="LQB335" s="301" t="s">
        <v>470</v>
      </c>
      <c r="LQC335" s="301" t="s">
        <v>470</v>
      </c>
      <c r="LQD335" s="301" t="s">
        <v>470</v>
      </c>
      <c r="LQE335" s="301" t="s">
        <v>470</v>
      </c>
      <c r="LQF335" s="301" t="s">
        <v>470</v>
      </c>
      <c r="LQG335" s="301" t="s">
        <v>470</v>
      </c>
      <c r="LQH335" s="301" t="s">
        <v>470</v>
      </c>
      <c r="LQI335" s="301" t="s">
        <v>470</v>
      </c>
      <c r="LQJ335" s="301" t="s">
        <v>470</v>
      </c>
      <c r="LQK335" s="301" t="s">
        <v>470</v>
      </c>
      <c r="LQL335" s="301" t="s">
        <v>470</v>
      </c>
      <c r="LQM335" s="301" t="s">
        <v>470</v>
      </c>
      <c r="LQN335" s="301" t="s">
        <v>470</v>
      </c>
      <c r="LQO335" s="301" t="s">
        <v>470</v>
      </c>
      <c r="LQP335" s="301" t="s">
        <v>470</v>
      </c>
      <c r="LQQ335" s="301" t="s">
        <v>470</v>
      </c>
      <c r="LQR335" s="301" t="s">
        <v>470</v>
      </c>
      <c r="LQS335" s="301" t="s">
        <v>470</v>
      </c>
      <c r="LQT335" s="301" t="s">
        <v>470</v>
      </c>
      <c r="LQU335" s="301" t="s">
        <v>470</v>
      </c>
      <c r="LQV335" s="301" t="s">
        <v>470</v>
      </c>
      <c r="LQW335" s="301" t="s">
        <v>470</v>
      </c>
      <c r="LQX335" s="301" t="s">
        <v>470</v>
      </c>
      <c r="LQY335" s="301" t="s">
        <v>470</v>
      </c>
      <c r="LQZ335" s="301" t="s">
        <v>470</v>
      </c>
      <c r="LRA335" s="301" t="s">
        <v>470</v>
      </c>
      <c r="LRB335" s="301" t="s">
        <v>470</v>
      </c>
      <c r="LRC335" s="301" t="s">
        <v>470</v>
      </c>
      <c r="LRD335" s="301" t="s">
        <v>470</v>
      </c>
      <c r="LRE335" s="301" t="s">
        <v>470</v>
      </c>
      <c r="LRF335" s="301" t="s">
        <v>470</v>
      </c>
      <c r="LRG335" s="301" t="s">
        <v>470</v>
      </c>
      <c r="LRH335" s="301" t="s">
        <v>470</v>
      </c>
      <c r="LRI335" s="301" t="s">
        <v>470</v>
      </c>
      <c r="LRJ335" s="301" t="s">
        <v>470</v>
      </c>
      <c r="LRK335" s="301" t="s">
        <v>470</v>
      </c>
      <c r="LRL335" s="301" t="s">
        <v>470</v>
      </c>
      <c r="LRM335" s="301" t="s">
        <v>470</v>
      </c>
      <c r="LRN335" s="301" t="s">
        <v>470</v>
      </c>
      <c r="LRO335" s="301" t="s">
        <v>470</v>
      </c>
      <c r="LRP335" s="301" t="s">
        <v>470</v>
      </c>
      <c r="LRQ335" s="301" t="s">
        <v>470</v>
      </c>
      <c r="LRR335" s="301" t="s">
        <v>470</v>
      </c>
      <c r="LRS335" s="301" t="s">
        <v>470</v>
      </c>
      <c r="LRT335" s="301" t="s">
        <v>470</v>
      </c>
      <c r="LRU335" s="301" t="s">
        <v>470</v>
      </c>
      <c r="LRV335" s="301" t="s">
        <v>470</v>
      </c>
      <c r="LRW335" s="301" t="s">
        <v>470</v>
      </c>
      <c r="LRX335" s="301" t="s">
        <v>470</v>
      </c>
      <c r="LRY335" s="301" t="s">
        <v>470</v>
      </c>
      <c r="LRZ335" s="301" t="s">
        <v>470</v>
      </c>
      <c r="LSA335" s="301" t="s">
        <v>470</v>
      </c>
      <c r="LSB335" s="301" t="s">
        <v>470</v>
      </c>
      <c r="LSC335" s="301" t="s">
        <v>470</v>
      </c>
      <c r="LSD335" s="301" t="s">
        <v>470</v>
      </c>
      <c r="LSE335" s="301" t="s">
        <v>470</v>
      </c>
      <c r="LSF335" s="301" t="s">
        <v>470</v>
      </c>
      <c r="LSG335" s="301" t="s">
        <v>470</v>
      </c>
      <c r="LSH335" s="301" t="s">
        <v>470</v>
      </c>
      <c r="LSI335" s="301" t="s">
        <v>470</v>
      </c>
      <c r="LSJ335" s="301" t="s">
        <v>470</v>
      </c>
      <c r="LSK335" s="301" t="s">
        <v>470</v>
      </c>
      <c r="LSL335" s="301" t="s">
        <v>470</v>
      </c>
      <c r="LSM335" s="301" t="s">
        <v>470</v>
      </c>
      <c r="LSN335" s="301" t="s">
        <v>470</v>
      </c>
      <c r="LSO335" s="301" t="s">
        <v>470</v>
      </c>
      <c r="LSP335" s="301" t="s">
        <v>470</v>
      </c>
      <c r="LSQ335" s="301" t="s">
        <v>470</v>
      </c>
      <c r="LSR335" s="301" t="s">
        <v>470</v>
      </c>
      <c r="LSS335" s="301" t="s">
        <v>470</v>
      </c>
      <c r="LST335" s="301" t="s">
        <v>470</v>
      </c>
      <c r="LSU335" s="301" t="s">
        <v>470</v>
      </c>
      <c r="LSV335" s="301" t="s">
        <v>470</v>
      </c>
      <c r="LSW335" s="301" t="s">
        <v>470</v>
      </c>
      <c r="LSX335" s="301" t="s">
        <v>470</v>
      </c>
      <c r="LSY335" s="301" t="s">
        <v>470</v>
      </c>
      <c r="LSZ335" s="301" t="s">
        <v>470</v>
      </c>
      <c r="LTA335" s="301" t="s">
        <v>470</v>
      </c>
      <c r="LTB335" s="301" t="s">
        <v>470</v>
      </c>
      <c r="LTC335" s="301" t="s">
        <v>470</v>
      </c>
      <c r="LTD335" s="301" t="s">
        <v>470</v>
      </c>
      <c r="LTE335" s="301" t="s">
        <v>470</v>
      </c>
      <c r="LTF335" s="301" t="s">
        <v>470</v>
      </c>
      <c r="LTG335" s="301" t="s">
        <v>470</v>
      </c>
      <c r="LTH335" s="301" t="s">
        <v>470</v>
      </c>
      <c r="LTI335" s="301" t="s">
        <v>470</v>
      </c>
      <c r="LTJ335" s="301" t="s">
        <v>470</v>
      </c>
      <c r="LTK335" s="301" t="s">
        <v>470</v>
      </c>
      <c r="LTL335" s="301" t="s">
        <v>470</v>
      </c>
      <c r="LTM335" s="301" t="s">
        <v>470</v>
      </c>
      <c r="LTN335" s="301" t="s">
        <v>470</v>
      </c>
      <c r="LTO335" s="301" t="s">
        <v>470</v>
      </c>
      <c r="LTP335" s="301" t="s">
        <v>470</v>
      </c>
      <c r="LTQ335" s="301" t="s">
        <v>470</v>
      </c>
      <c r="LTR335" s="301" t="s">
        <v>470</v>
      </c>
      <c r="LTS335" s="301" t="s">
        <v>470</v>
      </c>
      <c r="LTT335" s="301" t="s">
        <v>470</v>
      </c>
      <c r="LTU335" s="301" t="s">
        <v>470</v>
      </c>
      <c r="LTV335" s="301" t="s">
        <v>470</v>
      </c>
      <c r="LTW335" s="301" t="s">
        <v>470</v>
      </c>
      <c r="LTX335" s="301" t="s">
        <v>470</v>
      </c>
      <c r="LTY335" s="301" t="s">
        <v>470</v>
      </c>
      <c r="LTZ335" s="301" t="s">
        <v>470</v>
      </c>
      <c r="LUA335" s="301" t="s">
        <v>470</v>
      </c>
      <c r="LUB335" s="301" t="s">
        <v>470</v>
      </c>
      <c r="LUC335" s="301" t="s">
        <v>470</v>
      </c>
      <c r="LUD335" s="301" t="s">
        <v>470</v>
      </c>
      <c r="LUE335" s="301" t="s">
        <v>470</v>
      </c>
      <c r="LUF335" s="301" t="s">
        <v>470</v>
      </c>
      <c r="LUG335" s="301" t="s">
        <v>470</v>
      </c>
      <c r="LUH335" s="301" t="s">
        <v>470</v>
      </c>
      <c r="LUI335" s="301" t="s">
        <v>470</v>
      </c>
      <c r="LUJ335" s="301" t="s">
        <v>470</v>
      </c>
      <c r="LUK335" s="301" t="s">
        <v>470</v>
      </c>
      <c r="LUL335" s="301" t="s">
        <v>470</v>
      </c>
      <c r="LUM335" s="301" t="s">
        <v>470</v>
      </c>
      <c r="LUN335" s="301" t="s">
        <v>470</v>
      </c>
      <c r="LUO335" s="301" t="s">
        <v>470</v>
      </c>
      <c r="LUP335" s="301" t="s">
        <v>470</v>
      </c>
      <c r="LUQ335" s="301" t="s">
        <v>470</v>
      </c>
      <c r="LUR335" s="301" t="s">
        <v>470</v>
      </c>
      <c r="LUS335" s="301" t="s">
        <v>470</v>
      </c>
      <c r="LUT335" s="301" t="s">
        <v>470</v>
      </c>
      <c r="LUU335" s="301" t="s">
        <v>470</v>
      </c>
      <c r="LUV335" s="301" t="s">
        <v>470</v>
      </c>
      <c r="LUW335" s="301" t="s">
        <v>470</v>
      </c>
      <c r="LUX335" s="301" t="s">
        <v>470</v>
      </c>
      <c r="LUY335" s="301" t="s">
        <v>470</v>
      </c>
      <c r="LUZ335" s="301" t="s">
        <v>470</v>
      </c>
      <c r="LVA335" s="301" t="s">
        <v>470</v>
      </c>
      <c r="LVB335" s="301" t="s">
        <v>470</v>
      </c>
      <c r="LVC335" s="301" t="s">
        <v>470</v>
      </c>
      <c r="LVD335" s="301" t="s">
        <v>470</v>
      </c>
      <c r="LVE335" s="301" t="s">
        <v>470</v>
      </c>
      <c r="LVF335" s="301" t="s">
        <v>470</v>
      </c>
      <c r="LVG335" s="301" t="s">
        <v>470</v>
      </c>
      <c r="LVH335" s="301" t="s">
        <v>470</v>
      </c>
      <c r="LVI335" s="301" t="s">
        <v>470</v>
      </c>
      <c r="LVJ335" s="301" t="s">
        <v>470</v>
      </c>
      <c r="LVK335" s="301" t="s">
        <v>470</v>
      </c>
      <c r="LVL335" s="301" t="s">
        <v>470</v>
      </c>
      <c r="LVM335" s="301" t="s">
        <v>470</v>
      </c>
      <c r="LVN335" s="301" t="s">
        <v>470</v>
      </c>
      <c r="LVO335" s="301" t="s">
        <v>470</v>
      </c>
      <c r="LVP335" s="301" t="s">
        <v>470</v>
      </c>
      <c r="LVQ335" s="301" t="s">
        <v>470</v>
      </c>
      <c r="LVR335" s="301" t="s">
        <v>470</v>
      </c>
      <c r="LVS335" s="301" t="s">
        <v>470</v>
      </c>
      <c r="LVT335" s="301" t="s">
        <v>470</v>
      </c>
      <c r="LVU335" s="301" t="s">
        <v>470</v>
      </c>
      <c r="LVV335" s="301" t="s">
        <v>470</v>
      </c>
      <c r="LVW335" s="301" t="s">
        <v>470</v>
      </c>
      <c r="LVX335" s="301" t="s">
        <v>470</v>
      </c>
      <c r="LVY335" s="301" t="s">
        <v>470</v>
      </c>
      <c r="LVZ335" s="301" t="s">
        <v>470</v>
      </c>
      <c r="LWA335" s="301" t="s">
        <v>470</v>
      </c>
      <c r="LWB335" s="301" t="s">
        <v>470</v>
      </c>
      <c r="LWC335" s="301" t="s">
        <v>470</v>
      </c>
      <c r="LWD335" s="301" t="s">
        <v>470</v>
      </c>
      <c r="LWE335" s="301" t="s">
        <v>470</v>
      </c>
      <c r="LWF335" s="301" t="s">
        <v>470</v>
      </c>
      <c r="LWG335" s="301" t="s">
        <v>470</v>
      </c>
      <c r="LWH335" s="301" t="s">
        <v>470</v>
      </c>
      <c r="LWI335" s="301" t="s">
        <v>470</v>
      </c>
      <c r="LWJ335" s="301" t="s">
        <v>470</v>
      </c>
      <c r="LWK335" s="301" t="s">
        <v>470</v>
      </c>
      <c r="LWL335" s="301" t="s">
        <v>470</v>
      </c>
      <c r="LWM335" s="301" t="s">
        <v>470</v>
      </c>
      <c r="LWN335" s="301" t="s">
        <v>470</v>
      </c>
      <c r="LWO335" s="301" t="s">
        <v>470</v>
      </c>
      <c r="LWP335" s="301" t="s">
        <v>470</v>
      </c>
      <c r="LWQ335" s="301" t="s">
        <v>470</v>
      </c>
      <c r="LWR335" s="301" t="s">
        <v>470</v>
      </c>
      <c r="LWS335" s="301" t="s">
        <v>470</v>
      </c>
      <c r="LWT335" s="301" t="s">
        <v>470</v>
      </c>
      <c r="LWU335" s="301" t="s">
        <v>470</v>
      </c>
      <c r="LWV335" s="301" t="s">
        <v>470</v>
      </c>
      <c r="LWW335" s="301" t="s">
        <v>470</v>
      </c>
      <c r="LWX335" s="301" t="s">
        <v>470</v>
      </c>
      <c r="LWY335" s="301" t="s">
        <v>470</v>
      </c>
      <c r="LWZ335" s="301" t="s">
        <v>470</v>
      </c>
      <c r="LXA335" s="301" t="s">
        <v>470</v>
      </c>
      <c r="LXB335" s="301" t="s">
        <v>470</v>
      </c>
      <c r="LXC335" s="301" t="s">
        <v>470</v>
      </c>
      <c r="LXD335" s="301" t="s">
        <v>470</v>
      </c>
      <c r="LXE335" s="301" t="s">
        <v>470</v>
      </c>
      <c r="LXF335" s="301" t="s">
        <v>470</v>
      </c>
      <c r="LXG335" s="301" t="s">
        <v>470</v>
      </c>
      <c r="LXH335" s="301" t="s">
        <v>470</v>
      </c>
      <c r="LXI335" s="301" t="s">
        <v>470</v>
      </c>
      <c r="LXJ335" s="301" t="s">
        <v>470</v>
      </c>
      <c r="LXK335" s="301" t="s">
        <v>470</v>
      </c>
      <c r="LXL335" s="301" t="s">
        <v>470</v>
      </c>
      <c r="LXM335" s="301" t="s">
        <v>470</v>
      </c>
      <c r="LXN335" s="301" t="s">
        <v>470</v>
      </c>
      <c r="LXO335" s="301" t="s">
        <v>470</v>
      </c>
      <c r="LXP335" s="301" t="s">
        <v>470</v>
      </c>
      <c r="LXQ335" s="301" t="s">
        <v>470</v>
      </c>
      <c r="LXR335" s="301" t="s">
        <v>470</v>
      </c>
      <c r="LXS335" s="301" t="s">
        <v>470</v>
      </c>
      <c r="LXT335" s="301" t="s">
        <v>470</v>
      </c>
      <c r="LXU335" s="301" t="s">
        <v>470</v>
      </c>
      <c r="LXV335" s="301" t="s">
        <v>470</v>
      </c>
      <c r="LXW335" s="301" t="s">
        <v>470</v>
      </c>
      <c r="LXX335" s="301" t="s">
        <v>470</v>
      </c>
      <c r="LXY335" s="301" t="s">
        <v>470</v>
      </c>
      <c r="LXZ335" s="301" t="s">
        <v>470</v>
      </c>
      <c r="LYA335" s="301" t="s">
        <v>470</v>
      </c>
      <c r="LYB335" s="301" t="s">
        <v>470</v>
      </c>
      <c r="LYC335" s="301" t="s">
        <v>470</v>
      </c>
      <c r="LYD335" s="301" t="s">
        <v>470</v>
      </c>
      <c r="LYE335" s="301" t="s">
        <v>470</v>
      </c>
      <c r="LYF335" s="301" t="s">
        <v>470</v>
      </c>
      <c r="LYG335" s="301" t="s">
        <v>470</v>
      </c>
      <c r="LYH335" s="301" t="s">
        <v>470</v>
      </c>
      <c r="LYI335" s="301" t="s">
        <v>470</v>
      </c>
      <c r="LYJ335" s="301" t="s">
        <v>470</v>
      </c>
      <c r="LYK335" s="301" t="s">
        <v>470</v>
      </c>
      <c r="LYL335" s="301" t="s">
        <v>470</v>
      </c>
      <c r="LYM335" s="301" t="s">
        <v>470</v>
      </c>
      <c r="LYN335" s="301" t="s">
        <v>470</v>
      </c>
      <c r="LYO335" s="301" t="s">
        <v>470</v>
      </c>
      <c r="LYP335" s="301" t="s">
        <v>470</v>
      </c>
      <c r="LYQ335" s="301" t="s">
        <v>470</v>
      </c>
      <c r="LYR335" s="301" t="s">
        <v>470</v>
      </c>
      <c r="LYS335" s="301" t="s">
        <v>470</v>
      </c>
      <c r="LYT335" s="301" t="s">
        <v>470</v>
      </c>
      <c r="LYU335" s="301" t="s">
        <v>470</v>
      </c>
      <c r="LYV335" s="301" t="s">
        <v>470</v>
      </c>
      <c r="LYW335" s="301" t="s">
        <v>470</v>
      </c>
      <c r="LYX335" s="301" t="s">
        <v>470</v>
      </c>
      <c r="LYY335" s="301" t="s">
        <v>470</v>
      </c>
      <c r="LYZ335" s="301" t="s">
        <v>470</v>
      </c>
      <c r="LZA335" s="301" t="s">
        <v>470</v>
      </c>
      <c r="LZB335" s="301" t="s">
        <v>470</v>
      </c>
      <c r="LZC335" s="301" t="s">
        <v>470</v>
      </c>
      <c r="LZD335" s="301" t="s">
        <v>470</v>
      </c>
      <c r="LZE335" s="301" t="s">
        <v>470</v>
      </c>
      <c r="LZF335" s="301" t="s">
        <v>470</v>
      </c>
      <c r="LZG335" s="301" t="s">
        <v>470</v>
      </c>
      <c r="LZH335" s="301" t="s">
        <v>470</v>
      </c>
      <c r="LZI335" s="301" t="s">
        <v>470</v>
      </c>
      <c r="LZJ335" s="301" t="s">
        <v>470</v>
      </c>
      <c r="LZK335" s="301" t="s">
        <v>470</v>
      </c>
      <c r="LZL335" s="301" t="s">
        <v>470</v>
      </c>
      <c r="LZM335" s="301" t="s">
        <v>470</v>
      </c>
      <c r="LZN335" s="301" t="s">
        <v>470</v>
      </c>
      <c r="LZO335" s="301" t="s">
        <v>470</v>
      </c>
      <c r="LZP335" s="301" t="s">
        <v>470</v>
      </c>
      <c r="LZQ335" s="301" t="s">
        <v>470</v>
      </c>
      <c r="LZR335" s="301" t="s">
        <v>470</v>
      </c>
      <c r="LZS335" s="301" t="s">
        <v>470</v>
      </c>
      <c r="LZT335" s="301" t="s">
        <v>470</v>
      </c>
      <c r="LZU335" s="301" t="s">
        <v>470</v>
      </c>
      <c r="LZV335" s="301" t="s">
        <v>470</v>
      </c>
      <c r="LZW335" s="301" t="s">
        <v>470</v>
      </c>
      <c r="LZX335" s="301" t="s">
        <v>470</v>
      </c>
      <c r="LZY335" s="301" t="s">
        <v>470</v>
      </c>
      <c r="LZZ335" s="301" t="s">
        <v>470</v>
      </c>
      <c r="MAA335" s="301" t="s">
        <v>470</v>
      </c>
      <c r="MAB335" s="301" t="s">
        <v>470</v>
      </c>
      <c r="MAC335" s="301" t="s">
        <v>470</v>
      </c>
      <c r="MAD335" s="301" t="s">
        <v>470</v>
      </c>
      <c r="MAE335" s="301" t="s">
        <v>470</v>
      </c>
      <c r="MAF335" s="301" t="s">
        <v>470</v>
      </c>
      <c r="MAG335" s="301" t="s">
        <v>470</v>
      </c>
      <c r="MAH335" s="301" t="s">
        <v>470</v>
      </c>
      <c r="MAI335" s="301" t="s">
        <v>470</v>
      </c>
      <c r="MAJ335" s="301" t="s">
        <v>470</v>
      </c>
      <c r="MAK335" s="301" t="s">
        <v>470</v>
      </c>
      <c r="MAL335" s="301" t="s">
        <v>470</v>
      </c>
      <c r="MAM335" s="301" t="s">
        <v>470</v>
      </c>
      <c r="MAN335" s="301" t="s">
        <v>470</v>
      </c>
      <c r="MAO335" s="301" t="s">
        <v>470</v>
      </c>
      <c r="MAP335" s="301" t="s">
        <v>470</v>
      </c>
      <c r="MAQ335" s="301" t="s">
        <v>470</v>
      </c>
      <c r="MAR335" s="301" t="s">
        <v>470</v>
      </c>
      <c r="MAS335" s="301" t="s">
        <v>470</v>
      </c>
      <c r="MAT335" s="301" t="s">
        <v>470</v>
      </c>
      <c r="MAU335" s="301" t="s">
        <v>470</v>
      </c>
      <c r="MAV335" s="301" t="s">
        <v>470</v>
      </c>
      <c r="MAW335" s="301" t="s">
        <v>470</v>
      </c>
      <c r="MAX335" s="301" t="s">
        <v>470</v>
      </c>
      <c r="MAY335" s="301" t="s">
        <v>470</v>
      </c>
      <c r="MAZ335" s="301" t="s">
        <v>470</v>
      </c>
      <c r="MBA335" s="301" t="s">
        <v>470</v>
      </c>
      <c r="MBB335" s="301" t="s">
        <v>470</v>
      </c>
      <c r="MBC335" s="301" t="s">
        <v>470</v>
      </c>
      <c r="MBD335" s="301" t="s">
        <v>470</v>
      </c>
      <c r="MBE335" s="301" t="s">
        <v>470</v>
      </c>
      <c r="MBF335" s="301" t="s">
        <v>470</v>
      </c>
      <c r="MBG335" s="301" t="s">
        <v>470</v>
      </c>
      <c r="MBH335" s="301" t="s">
        <v>470</v>
      </c>
      <c r="MBI335" s="301" t="s">
        <v>470</v>
      </c>
      <c r="MBJ335" s="301" t="s">
        <v>470</v>
      </c>
      <c r="MBK335" s="301" t="s">
        <v>470</v>
      </c>
      <c r="MBL335" s="301" t="s">
        <v>470</v>
      </c>
      <c r="MBM335" s="301" t="s">
        <v>470</v>
      </c>
      <c r="MBN335" s="301" t="s">
        <v>470</v>
      </c>
      <c r="MBO335" s="301" t="s">
        <v>470</v>
      </c>
      <c r="MBP335" s="301" t="s">
        <v>470</v>
      </c>
      <c r="MBQ335" s="301" t="s">
        <v>470</v>
      </c>
      <c r="MBR335" s="301" t="s">
        <v>470</v>
      </c>
      <c r="MBS335" s="301" t="s">
        <v>470</v>
      </c>
      <c r="MBT335" s="301" t="s">
        <v>470</v>
      </c>
      <c r="MBU335" s="301" t="s">
        <v>470</v>
      </c>
      <c r="MBV335" s="301" t="s">
        <v>470</v>
      </c>
      <c r="MBW335" s="301" t="s">
        <v>470</v>
      </c>
      <c r="MBX335" s="301" t="s">
        <v>470</v>
      </c>
      <c r="MBY335" s="301" t="s">
        <v>470</v>
      </c>
      <c r="MBZ335" s="301" t="s">
        <v>470</v>
      </c>
      <c r="MCA335" s="301" t="s">
        <v>470</v>
      </c>
      <c r="MCB335" s="301" t="s">
        <v>470</v>
      </c>
      <c r="MCC335" s="301" t="s">
        <v>470</v>
      </c>
      <c r="MCD335" s="301" t="s">
        <v>470</v>
      </c>
      <c r="MCE335" s="301" t="s">
        <v>470</v>
      </c>
      <c r="MCF335" s="301" t="s">
        <v>470</v>
      </c>
      <c r="MCG335" s="301" t="s">
        <v>470</v>
      </c>
      <c r="MCH335" s="301" t="s">
        <v>470</v>
      </c>
      <c r="MCI335" s="301" t="s">
        <v>470</v>
      </c>
      <c r="MCJ335" s="301" t="s">
        <v>470</v>
      </c>
      <c r="MCK335" s="301" t="s">
        <v>470</v>
      </c>
      <c r="MCL335" s="301" t="s">
        <v>470</v>
      </c>
      <c r="MCM335" s="301" t="s">
        <v>470</v>
      </c>
      <c r="MCN335" s="301" t="s">
        <v>470</v>
      </c>
      <c r="MCO335" s="301" t="s">
        <v>470</v>
      </c>
      <c r="MCP335" s="301" t="s">
        <v>470</v>
      </c>
      <c r="MCQ335" s="301" t="s">
        <v>470</v>
      </c>
      <c r="MCR335" s="301" t="s">
        <v>470</v>
      </c>
      <c r="MCS335" s="301" t="s">
        <v>470</v>
      </c>
      <c r="MCT335" s="301" t="s">
        <v>470</v>
      </c>
      <c r="MCU335" s="301" t="s">
        <v>470</v>
      </c>
      <c r="MCV335" s="301" t="s">
        <v>470</v>
      </c>
      <c r="MCW335" s="301" t="s">
        <v>470</v>
      </c>
      <c r="MCX335" s="301" t="s">
        <v>470</v>
      </c>
      <c r="MCY335" s="301" t="s">
        <v>470</v>
      </c>
      <c r="MCZ335" s="301" t="s">
        <v>470</v>
      </c>
      <c r="MDA335" s="301" t="s">
        <v>470</v>
      </c>
      <c r="MDB335" s="301" t="s">
        <v>470</v>
      </c>
      <c r="MDC335" s="301" t="s">
        <v>470</v>
      </c>
      <c r="MDD335" s="301" t="s">
        <v>470</v>
      </c>
      <c r="MDE335" s="301" t="s">
        <v>470</v>
      </c>
      <c r="MDF335" s="301" t="s">
        <v>470</v>
      </c>
      <c r="MDG335" s="301" t="s">
        <v>470</v>
      </c>
      <c r="MDH335" s="301" t="s">
        <v>470</v>
      </c>
      <c r="MDI335" s="301" t="s">
        <v>470</v>
      </c>
      <c r="MDJ335" s="301" t="s">
        <v>470</v>
      </c>
      <c r="MDK335" s="301" t="s">
        <v>470</v>
      </c>
      <c r="MDL335" s="301" t="s">
        <v>470</v>
      </c>
      <c r="MDM335" s="301" t="s">
        <v>470</v>
      </c>
      <c r="MDN335" s="301" t="s">
        <v>470</v>
      </c>
      <c r="MDO335" s="301" t="s">
        <v>470</v>
      </c>
      <c r="MDP335" s="301" t="s">
        <v>470</v>
      </c>
      <c r="MDQ335" s="301" t="s">
        <v>470</v>
      </c>
      <c r="MDR335" s="301" t="s">
        <v>470</v>
      </c>
      <c r="MDS335" s="301" t="s">
        <v>470</v>
      </c>
      <c r="MDT335" s="301" t="s">
        <v>470</v>
      </c>
      <c r="MDU335" s="301" t="s">
        <v>470</v>
      </c>
      <c r="MDV335" s="301" t="s">
        <v>470</v>
      </c>
      <c r="MDW335" s="301" t="s">
        <v>470</v>
      </c>
      <c r="MDX335" s="301" t="s">
        <v>470</v>
      </c>
      <c r="MDY335" s="301" t="s">
        <v>470</v>
      </c>
      <c r="MDZ335" s="301" t="s">
        <v>470</v>
      </c>
      <c r="MEA335" s="301" t="s">
        <v>470</v>
      </c>
      <c r="MEB335" s="301" t="s">
        <v>470</v>
      </c>
      <c r="MEC335" s="301" t="s">
        <v>470</v>
      </c>
      <c r="MED335" s="301" t="s">
        <v>470</v>
      </c>
      <c r="MEE335" s="301" t="s">
        <v>470</v>
      </c>
      <c r="MEF335" s="301" t="s">
        <v>470</v>
      </c>
      <c r="MEG335" s="301" t="s">
        <v>470</v>
      </c>
      <c r="MEH335" s="301" t="s">
        <v>470</v>
      </c>
      <c r="MEI335" s="301" t="s">
        <v>470</v>
      </c>
      <c r="MEJ335" s="301" t="s">
        <v>470</v>
      </c>
      <c r="MEK335" s="301" t="s">
        <v>470</v>
      </c>
      <c r="MEL335" s="301" t="s">
        <v>470</v>
      </c>
      <c r="MEM335" s="301" t="s">
        <v>470</v>
      </c>
      <c r="MEN335" s="301" t="s">
        <v>470</v>
      </c>
      <c r="MEO335" s="301" t="s">
        <v>470</v>
      </c>
      <c r="MEP335" s="301" t="s">
        <v>470</v>
      </c>
      <c r="MEQ335" s="301" t="s">
        <v>470</v>
      </c>
      <c r="MER335" s="301" t="s">
        <v>470</v>
      </c>
      <c r="MES335" s="301" t="s">
        <v>470</v>
      </c>
      <c r="MET335" s="301" t="s">
        <v>470</v>
      </c>
      <c r="MEU335" s="301" t="s">
        <v>470</v>
      </c>
      <c r="MEV335" s="301" t="s">
        <v>470</v>
      </c>
      <c r="MEW335" s="301" t="s">
        <v>470</v>
      </c>
      <c r="MEX335" s="301" t="s">
        <v>470</v>
      </c>
      <c r="MEY335" s="301" t="s">
        <v>470</v>
      </c>
      <c r="MEZ335" s="301" t="s">
        <v>470</v>
      </c>
      <c r="MFA335" s="301" t="s">
        <v>470</v>
      </c>
      <c r="MFB335" s="301" t="s">
        <v>470</v>
      </c>
      <c r="MFC335" s="301" t="s">
        <v>470</v>
      </c>
      <c r="MFD335" s="301" t="s">
        <v>470</v>
      </c>
      <c r="MFE335" s="301" t="s">
        <v>470</v>
      </c>
      <c r="MFF335" s="301" t="s">
        <v>470</v>
      </c>
      <c r="MFG335" s="301" t="s">
        <v>470</v>
      </c>
      <c r="MFH335" s="301" t="s">
        <v>470</v>
      </c>
      <c r="MFI335" s="301" t="s">
        <v>470</v>
      </c>
      <c r="MFJ335" s="301" t="s">
        <v>470</v>
      </c>
      <c r="MFK335" s="301" t="s">
        <v>470</v>
      </c>
      <c r="MFL335" s="301" t="s">
        <v>470</v>
      </c>
      <c r="MFM335" s="301" t="s">
        <v>470</v>
      </c>
      <c r="MFN335" s="301" t="s">
        <v>470</v>
      </c>
      <c r="MFO335" s="301" t="s">
        <v>470</v>
      </c>
      <c r="MFP335" s="301" t="s">
        <v>470</v>
      </c>
      <c r="MFQ335" s="301" t="s">
        <v>470</v>
      </c>
      <c r="MFR335" s="301" t="s">
        <v>470</v>
      </c>
      <c r="MFS335" s="301" t="s">
        <v>470</v>
      </c>
      <c r="MFT335" s="301" t="s">
        <v>470</v>
      </c>
      <c r="MFU335" s="301" t="s">
        <v>470</v>
      </c>
      <c r="MFV335" s="301" t="s">
        <v>470</v>
      </c>
      <c r="MFW335" s="301" t="s">
        <v>470</v>
      </c>
      <c r="MFX335" s="301" t="s">
        <v>470</v>
      </c>
      <c r="MFY335" s="301" t="s">
        <v>470</v>
      </c>
      <c r="MFZ335" s="301" t="s">
        <v>470</v>
      </c>
      <c r="MGA335" s="301" t="s">
        <v>470</v>
      </c>
      <c r="MGB335" s="301" t="s">
        <v>470</v>
      </c>
      <c r="MGC335" s="301" t="s">
        <v>470</v>
      </c>
      <c r="MGD335" s="301" t="s">
        <v>470</v>
      </c>
      <c r="MGE335" s="301" t="s">
        <v>470</v>
      </c>
      <c r="MGF335" s="301" t="s">
        <v>470</v>
      </c>
      <c r="MGG335" s="301" t="s">
        <v>470</v>
      </c>
      <c r="MGH335" s="301" t="s">
        <v>470</v>
      </c>
      <c r="MGI335" s="301" t="s">
        <v>470</v>
      </c>
      <c r="MGJ335" s="301" t="s">
        <v>470</v>
      </c>
      <c r="MGK335" s="301" t="s">
        <v>470</v>
      </c>
      <c r="MGL335" s="301" t="s">
        <v>470</v>
      </c>
      <c r="MGM335" s="301" t="s">
        <v>470</v>
      </c>
      <c r="MGN335" s="301" t="s">
        <v>470</v>
      </c>
      <c r="MGO335" s="301" t="s">
        <v>470</v>
      </c>
      <c r="MGP335" s="301" t="s">
        <v>470</v>
      </c>
      <c r="MGQ335" s="301" t="s">
        <v>470</v>
      </c>
      <c r="MGR335" s="301" t="s">
        <v>470</v>
      </c>
      <c r="MGS335" s="301" t="s">
        <v>470</v>
      </c>
      <c r="MGT335" s="301" t="s">
        <v>470</v>
      </c>
      <c r="MGU335" s="301" t="s">
        <v>470</v>
      </c>
      <c r="MGV335" s="301" t="s">
        <v>470</v>
      </c>
      <c r="MGW335" s="301" t="s">
        <v>470</v>
      </c>
      <c r="MGX335" s="301" t="s">
        <v>470</v>
      </c>
      <c r="MGY335" s="301" t="s">
        <v>470</v>
      </c>
      <c r="MGZ335" s="301" t="s">
        <v>470</v>
      </c>
      <c r="MHA335" s="301" t="s">
        <v>470</v>
      </c>
      <c r="MHB335" s="301" t="s">
        <v>470</v>
      </c>
      <c r="MHC335" s="301" t="s">
        <v>470</v>
      </c>
      <c r="MHD335" s="301" t="s">
        <v>470</v>
      </c>
      <c r="MHE335" s="301" t="s">
        <v>470</v>
      </c>
      <c r="MHF335" s="301" t="s">
        <v>470</v>
      </c>
      <c r="MHG335" s="301" t="s">
        <v>470</v>
      </c>
      <c r="MHH335" s="301" t="s">
        <v>470</v>
      </c>
      <c r="MHI335" s="301" t="s">
        <v>470</v>
      </c>
      <c r="MHJ335" s="301" t="s">
        <v>470</v>
      </c>
      <c r="MHK335" s="301" t="s">
        <v>470</v>
      </c>
      <c r="MHL335" s="301" t="s">
        <v>470</v>
      </c>
      <c r="MHM335" s="301" t="s">
        <v>470</v>
      </c>
      <c r="MHN335" s="301" t="s">
        <v>470</v>
      </c>
      <c r="MHO335" s="301" t="s">
        <v>470</v>
      </c>
      <c r="MHP335" s="301" t="s">
        <v>470</v>
      </c>
      <c r="MHQ335" s="301" t="s">
        <v>470</v>
      </c>
      <c r="MHR335" s="301" t="s">
        <v>470</v>
      </c>
      <c r="MHS335" s="301" t="s">
        <v>470</v>
      </c>
      <c r="MHT335" s="301" t="s">
        <v>470</v>
      </c>
      <c r="MHU335" s="301" t="s">
        <v>470</v>
      </c>
      <c r="MHV335" s="301" t="s">
        <v>470</v>
      </c>
      <c r="MHW335" s="301" t="s">
        <v>470</v>
      </c>
      <c r="MHX335" s="301" t="s">
        <v>470</v>
      </c>
      <c r="MHY335" s="301" t="s">
        <v>470</v>
      </c>
      <c r="MHZ335" s="301" t="s">
        <v>470</v>
      </c>
      <c r="MIA335" s="301" t="s">
        <v>470</v>
      </c>
      <c r="MIB335" s="301" t="s">
        <v>470</v>
      </c>
      <c r="MIC335" s="301" t="s">
        <v>470</v>
      </c>
      <c r="MID335" s="301" t="s">
        <v>470</v>
      </c>
      <c r="MIE335" s="301" t="s">
        <v>470</v>
      </c>
      <c r="MIF335" s="301" t="s">
        <v>470</v>
      </c>
      <c r="MIG335" s="301" t="s">
        <v>470</v>
      </c>
      <c r="MIH335" s="301" t="s">
        <v>470</v>
      </c>
      <c r="MII335" s="301" t="s">
        <v>470</v>
      </c>
      <c r="MIJ335" s="301" t="s">
        <v>470</v>
      </c>
      <c r="MIK335" s="301" t="s">
        <v>470</v>
      </c>
      <c r="MIL335" s="301" t="s">
        <v>470</v>
      </c>
      <c r="MIM335" s="301" t="s">
        <v>470</v>
      </c>
      <c r="MIN335" s="301" t="s">
        <v>470</v>
      </c>
      <c r="MIO335" s="301" t="s">
        <v>470</v>
      </c>
      <c r="MIP335" s="301" t="s">
        <v>470</v>
      </c>
      <c r="MIQ335" s="301" t="s">
        <v>470</v>
      </c>
      <c r="MIR335" s="301" t="s">
        <v>470</v>
      </c>
      <c r="MIS335" s="301" t="s">
        <v>470</v>
      </c>
      <c r="MIT335" s="301" t="s">
        <v>470</v>
      </c>
      <c r="MIU335" s="301" t="s">
        <v>470</v>
      </c>
      <c r="MIV335" s="301" t="s">
        <v>470</v>
      </c>
      <c r="MIW335" s="301" t="s">
        <v>470</v>
      </c>
      <c r="MIX335" s="301" t="s">
        <v>470</v>
      </c>
      <c r="MIY335" s="301" t="s">
        <v>470</v>
      </c>
      <c r="MIZ335" s="301" t="s">
        <v>470</v>
      </c>
      <c r="MJA335" s="301" t="s">
        <v>470</v>
      </c>
      <c r="MJB335" s="301" t="s">
        <v>470</v>
      </c>
      <c r="MJC335" s="301" t="s">
        <v>470</v>
      </c>
      <c r="MJD335" s="301" t="s">
        <v>470</v>
      </c>
      <c r="MJE335" s="301" t="s">
        <v>470</v>
      </c>
      <c r="MJF335" s="301" t="s">
        <v>470</v>
      </c>
      <c r="MJG335" s="301" t="s">
        <v>470</v>
      </c>
      <c r="MJH335" s="301" t="s">
        <v>470</v>
      </c>
      <c r="MJI335" s="301" t="s">
        <v>470</v>
      </c>
      <c r="MJJ335" s="301" t="s">
        <v>470</v>
      </c>
      <c r="MJK335" s="301" t="s">
        <v>470</v>
      </c>
      <c r="MJL335" s="301" t="s">
        <v>470</v>
      </c>
      <c r="MJM335" s="301" t="s">
        <v>470</v>
      </c>
      <c r="MJN335" s="301" t="s">
        <v>470</v>
      </c>
      <c r="MJO335" s="301" t="s">
        <v>470</v>
      </c>
      <c r="MJP335" s="301" t="s">
        <v>470</v>
      </c>
      <c r="MJQ335" s="301" t="s">
        <v>470</v>
      </c>
      <c r="MJR335" s="301" t="s">
        <v>470</v>
      </c>
      <c r="MJS335" s="301" t="s">
        <v>470</v>
      </c>
      <c r="MJT335" s="301" t="s">
        <v>470</v>
      </c>
      <c r="MJU335" s="301" t="s">
        <v>470</v>
      </c>
      <c r="MJV335" s="301" t="s">
        <v>470</v>
      </c>
      <c r="MJW335" s="301" t="s">
        <v>470</v>
      </c>
      <c r="MJX335" s="301" t="s">
        <v>470</v>
      </c>
      <c r="MJY335" s="301" t="s">
        <v>470</v>
      </c>
      <c r="MJZ335" s="301" t="s">
        <v>470</v>
      </c>
      <c r="MKA335" s="301" t="s">
        <v>470</v>
      </c>
      <c r="MKB335" s="301" t="s">
        <v>470</v>
      </c>
      <c r="MKC335" s="301" t="s">
        <v>470</v>
      </c>
      <c r="MKD335" s="301" t="s">
        <v>470</v>
      </c>
      <c r="MKE335" s="301" t="s">
        <v>470</v>
      </c>
      <c r="MKF335" s="301" t="s">
        <v>470</v>
      </c>
      <c r="MKG335" s="301" t="s">
        <v>470</v>
      </c>
      <c r="MKH335" s="301" t="s">
        <v>470</v>
      </c>
      <c r="MKI335" s="301" t="s">
        <v>470</v>
      </c>
      <c r="MKJ335" s="301" t="s">
        <v>470</v>
      </c>
      <c r="MKK335" s="301" t="s">
        <v>470</v>
      </c>
      <c r="MKL335" s="301" t="s">
        <v>470</v>
      </c>
      <c r="MKM335" s="301" t="s">
        <v>470</v>
      </c>
      <c r="MKN335" s="301" t="s">
        <v>470</v>
      </c>
      <c r="MKO335" s="301" t="s">
        <v>470</v>
      </c>
      <c r="MKP335" s="301" t="s">
        <v>470</v>
      </c>
      <c r="MKQ335" s="301" t="s">
        <v>470</v>
      </c>
      <c r="MKR335" s="301" t="s">
        <v>470</v>
      </c>
      <c r="MKS335" s="301" t="s">
        <v>470</v>
      </c>
      <c r="MKT335" s="301" t="s">
        <v>470</v>
      </c>
      <c r="MKU335" s="301" t="s">
        <v>470</v>
      </c>
      <c r="MKV335" s="301" t="s">
        <v>470</v>
      </c>
      <c r="MKW335" s="301" t="s">
        <v>470</v>
      </c>
      <c r="MKX335" s="301" t="s">
        <v>470</v>
      </c>
      <c r="MKY335" s="301" t="s">
        <v>470</v>
      </c>
      <c r="MKZ335" s="301" t="s">
        <v>470</v>
      </c>
      <c r="MLA335" s="301" t="s">
        <v>470</v>
      </c>
      <c r="MLB335" s="301" t="s">
        <v>470</v>
      </c>
      <c r="MLC335" s="301" t="s">
        <v>470</v>
      </c>
      <c r="MLD335" s="301" t="s">
        <v>470</v>
      </c>
      <c r="MLE335" s="301" t="s">
        <v>470</v>
      </c>
      <c r="MLF335" s="301" t="s">
        <v>470</v>
      </c>
      <c r="MLG335" s="301" t="s">
        <v>470</v>
      </c>
      <c r="MLH335" s="301" t="s">
        <v>470</v>
      </c>
      <c r="MLI335" s="301" t="s">
        <v>470</v>
      </c>
      <c r="MLJ335" s="301" t="s">
        <v>470</v>
      </c>
      <c r="MLK335" s="301" t="s">
        <v>470</v>
      </c>
      <c r="MLL335" s="301" t="s">
        <v>470</v>
      </c>
      <c r="MLM335" s="301" t="s">
        <v>470</v>
      </c>
      <c r="MLN335" s="301" t="s">
        <v>470</v>
      </c>
      <c r="MLO335" s="301" t="s">
        <v>470</v>
      </c>
      <c r="MLP335" s="301" t="s">
        <v>470</v>
      </c>
      <c r="MLQ335" s="301" t="s">
        <v>470</v>
      </c>
      <c r="MLR335" s="301" t="s">
        <v>470</v>
      </c>
      <c r="MLS335" s="301" t="s">
        <v>470</v>
      </c>
      <c r="MLT335" s="301" t="s">
        <v>470</v>
      </c>
      <c r="MLU335" s="301" t="s">
        <v>470</v>
      </c>
      <c r="MLV335" s="301" t="s">
        <v>470</v>
      </c>
      <c r="MLW335" s="301" t="s">
        <v>470</v>
      </c>
      <c r="MLX335" s="301" t="s">
        <v>470</v>
      </c>
      <c r="MLY335" s="301" t="s">
        <v>470</v>
      </c>
      <c r="MLZ335" s="301" t="s">
        <v>470</v>
      </c>
      <c r="MMA335" s="301" t="s">
        <v>470</v>
      </c>
      <c r="MMB335" s="301" t="s">
        <v>470</v>
      </c>
      <c r="MMC335" s="301" t="s">
        <v>470</v>
      </c>
      <c r="MMD335" s="301" t="s">
        <v>470</v>
      </c>
      <c r="MME335" s="301" t="s">
        <v>470</v>
      </c>
      <c r="MMF335" s="301" t="s">
        <v>470</v>
      </c>
      <c r="MMG335" s="301" t="s">
        <v>470</v>
      </c>
      <c r="MMH335" s="301" t="s">
        <v>470</v>
      </c>
      <c r="MMI335" s="301" t="s">
        <v>470</v>
      </c>
      <c r="MMJ335" s="301" t="s">
        <v>470</v>
      </c>
      <c r="MMK335" s="301" t="s">
        <v>470</v>
      </c>
      <c r="MML335" s="301" t="s">
        <v>470</v>
      </c>
      <c r="MMM335" s="301" t="s">
        <v>470</v>
      </c>
      <c r="MMN335" s="301" t="s">
        <v>470</v>
      </c>
      <c r="MMO335" s="301" t="s">
        <v>470</v>
      </c>
      <c r="MMP335" s="301" t="s">
        <v>470</v>
      </c>
      <c r="MMQ335" s="301" t="s">
        <v>470</v>
      </c>
      <c r="MMR335" s="301" t="s">
        <v>470</v>
      </c>
      <c r="MMS335" s="301" t="s">
        <v>470</v>
      </c>
      <c r="MMT335" s="301" t="s">
        <v>470</v>
      </c>
      <c r="MMU335" s="301" t="s">
        <v>470</v>
      </c>
      <c r="MMV335" s="301" t="s">
        <v>470</v>
      </c>
      <c r="MMW335" s="301" t="s">
        <v>470</v>
      </c>
      <c r="MMX335" s="301" t="s">
        <v>470</v>
      </c>
      <c r="MMY335" s="301" t="s">
        <v>470</v>
      </c>
      <c r="MMZ335" s="301" t="s">
        <v>470</v>
      </c>
      <c r="MNA335" s="301" t="s">
        <v>470</v>
      </c>
      <c r="MNB335" s="301" t="s">
        <v>470</v>
      </c>
      <c r="MNC335" s="301" t="s">
        <v>470</v>
      </c>
      <c r="MND335" s="301" t="s">
        <v>470</v>
      </c>
      <c r="MNE335" s="301" t="s">
        <v>470</v>
      </c>
      <c r="MNF335" s="301" t="s">
        <v>470</v>
      </c>
      <c r="MNG335" s="301" t="s">
        <v>470</v>
      </c>
      <c r="MNH335" s="301" t="s">
        <v>470</v>
      </c>
      <c r="MNI335" s="301" t="s">
        <v>470</v>
      </c>
      <c r="MNJ335" s="301" t="s">
        <v>470</v>
      </c>
      <c r="MNK335" s="301" t="s">
        <v>470</v>
      </c>
      <c r="MNL335" s="301" t="s">
        <v>470</v>
      </c>
      <c r="MNM335" s="301" t="s">
        <v>470</v>
      </c>
      <c r="MNN335" s="301" t="s">
        <v>470</v>
      </c>
      <c r="MNO335" s="301" t="s">
        <v>470</v>
      </c>
      <c r="MNP335" s="301" t="s">
        <v>470</v>
      </c>
      <c r="MNQ335" s="301" t="s">
        <v>470</v>
      </c>
      <c r="MNR335" s="301" t="s">
        <v>470</v>
      </c>
      <c r="MNS335" s="301" t="s">
        <v>470</v>
      </c>
      <c r="MNT335" s="301" t="s">
        <v>470</v>
      </c>
      <c r="MNU335" s="301" t="s">
        <v>470</v>
      </c>
      <c r="MNV335" s="301" t="s">
        <v>470</v>
      </c>
      <c r="MNW335" s="301" t="s">
        <v>470</v>
      </c>
      <c r="MNX335" s="301" t="s">
        <v>470</v>
      </c>
      <c r="MNY335" s="301" t="s">
        <v>470</v>
      </c>
      <c r="MNZ335" s="301" t="s">
        <v>470</v>
      </c>
      <c r="MOA335" s="301" t="s">
        <v>470</v>
      </c>
      <c r="MOB335" s="301" t="s">
        <v>470</v>
      </c>
      <c r="MOC335" s="301" t="s">
        <v>470</v>
      </c>
      <c r="MOD335" s="301" t="s">
        <v>470</v>
      </c>
      <c r="MOE335" s="301" t="s">
        <v>470</v>
      </c>
      <c r="MOF335" s="301" t="s">
        <v>470</v>
      </c>
      <c r="MOG335" s="301" t="s">
        <v>470</v>
      </c>
      <c r="MOH335" s="301" t="s">
        <v>470</v>
      </c>
      <c r="MOI335" s="301" t="s">
        <v>470</v>
      </c>
      <c r="MOJ335" s="301" t="s">
        <v>470</v>
      </c>
      <c r="MOK335" s="301" t="s">
        <v>470</v>
      </c>
      <c r="MOL335" s="301" t="s">
        <v>470</v>
      </c>
      <c r="MOM335" s="301" t="s">
        <v>470</v>
      </c>
      <c r="MON335" s="301" t="s">
        <v>470</v>
      </c>
      <c r="MOO335" s="301" t="s">
        <v>470</v>
      </c>
      <c r="MOP335" s="301" t="s">
        <v>470</v>
      </c>
      <c r="MOQ335" s="301" t="s">
        <v>470</v>
      </c>
      <c r="MOR335" s="301" t="s">
        <v>470</v>
      </c>
      <c r="MOS335" s="301" t="s">
        <v>470</v>
      </c>
      <c r="MOT335" s="301" t="s">
        <v>470</v>
      </c>
      <c r="MOU335" s="301" t="s">
        <v>470</v>
      </c>
      <c r="MOV335" s="301" t="s">
        <v>470</v>
      </c>
      <c r="MOW335" s="301" t="s">
        <v>470</v>
      </c>
      <c r="MOX335" s="301" t="s">
        <v>470</v>
      </c>
      <c r="MOY335" s="301" t="s">
        <v>470</v>
      </c>
      <c r="MOZ335" s="301" t="s">
        <v>470</v>
      </c>
      <c r="MPA335" s="301" t="s">
        <v>470</v>
      </c>
      <c r="MPB335" s="301" t="s">
        <v>470</v>
      </c>
      <c r="MPC335" s="301" t="s">
        <v>470</v>
      </c>
      <c r="MPD335" s="301" t="s">
        <v>470</v>
      </c>
      <c r="MPE335" s="301" t="s">
        <v>470</v>
      </c>
      <c r="MPF335" s="301" t="s">
        <v>470</v>
      </c>
      <c r="MPG335" s="301" t="s">
        <v>470</v>
      </c>
      <c r="MPH335" s="301" t="s">
        <v>470</v>
      </c>
      <c r="MPI335" s="301" t="s">
        <v>470</v>
      </c>
      <c r="MPJ335" s="301" t="s">
        <v>470</v>
      </c>
      <c r="MPK335" s="301" t="s">
        <v>470</v>
      </c>
      <c r="MPL335" s="301" t="s">
        <v>470</v>
      </c>
      <c r="MPM335" s="301" t="s">
        <v>470</v>
      </c>
      <c r="MPN335" s="301" t="s">
        <v>470</v>
      </c>
      <c r="MPO335" s="301" t="s">
        <v>470</v>
      </c>
      <c r="MPP335" s="301" t="s">
        <v>470</v>
      </c>
      <c r="MPQ335" s="301" t="s">
        <v>470</v>
      </c>
      <c r="MPR335" s="301" t="s">
        <v>470</v>
      </c>
      <c r="MPS335" s="301" t="s">
        <v>470</v>
      </c>
      <c r="MPT335" s="301" t="s">
        <v>470</v>
      </c>
      <c r="MPU335" s="301" t="s">
        <v>470</v>
      </c>
      <c r="MPV335" s="301" t="s">
        <v>470</v>
      </c>
      <c r="MPW335" s="301" t="s">
        <v>470</v>
      </c>
      <c r="MPX335" s="301" t="s">
        <v>470</v>
      </c>
      <c r="MPY335" s="301" t="s">
        <v>470</v>
      </c>
      <c r="MPZ335" s="301" t="s">
        <v>470</v>
      </c>
      <c r="MQA335" s="301" t="s">
        <v>470</v>
      </c>
      <c r="MQB335" s="301" t="s">
        <v>470</v>
      </c>
      <c r="MQC335" s="301" t="s">
        <v>470</v>
      </c>
      <c r="MQD335" s="301" t="s">
        <v>470</v>
      </c>
      <c r="MQE335" s="301" t="s">
        <v>470</v>
      </c>
      <c r="MQF335" s="301" t="s">
        <v>470</v>
      </c>
      <c r="MQG335" s="301" t="s">
        <v>470</v>
      </c>
      <c r="MQH335" s="301" t="s">
        <v>470</v>
      </c>
      <c r="MQI335" s="301" t="s">
        <v>470</v>
      </c>
      <c r="MQJ335" s="301" t="s">
        <v>470</v>
      </c>
      <c r="MQK335" s="301" t="s">
        <v>470</v>
      </c>
      <c r="MQL335" s="301" t="s">
        <v>470</v>
      </c>
      <c r="MQM335" s="301" t="s">
        <v>470</v>
      </c>
      <c r="MQN335" s="301" t="s">
        <v>470</v>
      </c>
      <c r="MQO335" s="301" t="s">
        <v>470</v>
      </c>
      <c r="MQP335" s="301" t="s">
        <v>470</v>
      </c>
      <c r="MQQ335" s="301" t="s">
        <v>470</v>
      </c>
      <c r="MQR335" s="301" t="s">
        <v>470</v>
      </c>
      <c r="MQS335" s="301" t="s">
        <v>470</v>
      </c>
      <c r="MQT335" s="301" t="s">
        <v>470</v>
      </c>
      <c r="MQU335" s="301" t="s">
        <v>470</v>
      </c>
      <c r="MQV335" s="301" t="s">
        <v>470</v>
      </c>
      <c r="MQW335" s="301" t="s">
        <v>470</v>
      </c>
      <c r="MQX335" s="301" t="s">
        <v>470</v>
      </c>
      <c r="MQY335" s="301" t="s">
        <v>470</v>
      </c>
      <c r="MQZ335" s="301" t="s">
        <v>470</v>
      </c>
      <c r="MRA335" s="301" t="s">
        <v>470</v>
      </c>
      <c r="MRB335" s="301" t="s">
        <v>470</v>
      </c>
      <c r="MRC335" s="301" t="s">
        <v>470</v>
      </c>
      <c r="MRD335" s="301" t="s">
        <v>470</v>
      </c>
      <c r="MRE335" s="301" t="s">
        <v>470</v>
      </c>
      <c r="MRF335" s="301" t="s">
        <v>470</v>
      </c>
      <c r="MRG335" s="301" t="s">
        <v>470</v>
      </c>
      <c r="MRH335" s="301" t="s">
        <v>470</v>
      </c>
      <c r="MRI335" s="301" t="s">
        <v>470</v>
      </c>
      <c r="MRJ335" s="301" t="s">
        <v>470</v>
      </c>
      <c r="MRK335" s="301" t="s">
        <v>470</v>
      </c>
      <c r="MRL335" s="301" t="s">
        <v>470</v>
      </c>
      <c r="MRM335" s="301" t="s">
        <v>470</v>
      </c>
      <c r="MRN335" s="301" t="s">
        <v>470</v>
      </c>
      <c r="MRO335" s="301" t="s">
        <v>470</v>
      </c>
      <c r="MRP335" s="301" t="s">
        <v>470</v>
      </c>
      <c r="MRQ335" s="301" t="s">
        <v>470</v>
      </c>
      <c r="MRR335" s="301" t="s">
        <v>470</v>
      </c>
      <c r="MRS335" s="301" t="s">
        <v>470</v>
      </c>
      <c r="MRT335" s="301" t="s">
        <v>470</v>
      </c>
      <c r="MRU335" s="301" t="s">
        <v>470</v>
      </c>
      <c r="MRV335" s="301" t="s">
        <v>470</v>
      </c>
      <c r="MRW335" s="301" t="s">
        <v>470</v>
      </c>
      <c r="MRX335" s="301" t="s">
        <v>470</v>
      </c>
      <c r="MRY335" s="301" t="s">
        <v>470</v>
      </c>
      <c r="MRZ335" s="301" t="s">
        <v>470</v>
      </c>
      <c r="MSA335" s="301" t="s">
        <v>470</v>
      </c>
      <c r="MSB335" s="301" t="s">
        <v>470</v>
      </c>
      <c r="MSC335" s="301" t="s">
        <v>470</v>
      </c>
      <c r="MSD335" s="301" t="s">
        <v>470</v>
      </c>
      <c r="MSE335" s="301" t="s">
        <v>470</v>
      </c>
      <c r="MSF335" s="301" t="s">
        <v>470</v>
      </c>
      <c r="MSG335" s="301" t="s">
        <v>470</v>
      </c>
      <c r="MSH335" s="301" t="s">
        <v>470</v>
      </c>
      <c r="MSI335" s="301" t="s">
        <v>470</v>
      </c>
      <c r="MSJ335" s="301" t="s">
        <v>470</v>
      </c>
      <c r="MSK335" s="301" t="s">
        <v>470</v>
      </c>
      <c r="MSL335" s="301" t="s">
        <v>470</v>
      </c>
      <c r="MSM335" s="301" t="s">
        <v>470</v>
      </c>
      <c r="MSN335" s="301" t="s">
        <v>470</v>
      </c>
      <c r="MSO335" s="301" t="s">
        <v>470</v>
      </c>
      <c r="MSP335" s="301" t="s">
        <v>470</v>
      </c>
      <c r="MSQ335" s="301" t="s">
        <v>470</v>
      </c>
      <c r="MSR335" s="301" t="s">
        <v>470</v>
      </c>
      <c r="MSS335" s="301" t="s">
        <v>470</v>
      </c>
      <c r="MST335" s="301" t="s">
        <v>470</v>
      </c>
      <c r="MSU335" s="301" t="s">
        <v>470</v>
      </c>
      <c r="MSV335" s="301" t="s">
        <v>470</v>
      </c>
      <c r="MSW335" s="301" t="s">
        <v>470</v>
      </c>
      <c r="MSX335" s="301" t="s">
        <v>470</v>
      </c>
      <c r="MSY335" s="301" t="s">
        <v>470</v>
      </c>
      <c r="MSZ335" s="301" t="s">
        <v>470</v>
      </c>
      <c r="MTA335" s="301" t="s">
        <v>470</v>
      </c>
      <c r="MTB335" s="301" t="s">
        <v>470</v>
      </c>
      <c r="MTC335" s="301" t="s">
        <v>470</v>
      </c>
      <c r="MTD335" s="301" t="s">
        <v>470</v>
      </c>
      <c r="MTE335" s="301" t="s">
        <v>470</v>
      </c>
      <c r="MTF335" s="301" t="s">
        <v>470</v>
      </c>
      <c r="MTG335" s="301" t="s">
        <v>470</v>
      </c>
      <c r="MTH335" s="301" t="s">
        <v>470</v>
      </c>
      <c r="MTI335" s="301" t="s">
        <v>470</v>
      </c>
      <c r="MTJ335" s="301" t="s">
        <v>470</v>
      </c>
      <c r="MTK335" s="301" t="s">
        <v>470</v>
      </c>
      <c r="MTL335" s="301" t="s">
        <v>470</v>
      </c>
      <c r="MTM335" s="301" t="s">
        <v>470</v>
      </c>
      <c r="MTN335" s="301" t="s">
        <v>470</v>
      </c>
      <c r="MTO335" s="301" t="s">
        <v>470</v>
      </c>
      <c r="MTP335" s="301" t="s">
        <v>470</v>
      </c>
      <c r="MTQ335" s="301" t="s">
        <v>470</v>
      </c>
      <c r="MTR335" s="301" t="s">
        <v>470</v>
      </c>
      <c r="MTS335" s="301" t="s">
        <v>470</v>
      </c>
      <c r="MTT335" s="301" t="s">
        <v>470</v>
      </c>
      <c r="MTU335" s="301" t="s">
        <v>470</v>
      </c>
      <c r="MTV335" s="301" t="s">
        <v>470</v>
      </c>
      <c r="MTW335" s="301" t="s">
        <v>470</v>
      </c>
      <c r="MTX335" s="301" t="s">
        <v>470</v>
      </c>
      <c r="MTY335" s="301" t="s">
        <v>470</v>
      </c>
      <c r="MTZ335" s="301" t="s">
        <v>470</v>
      </c>
      <c r="MUA335" s="301" t="s">
        <v>470</v>
      </c>
      <c r="MUB335" s="301" t="s">
        <v>470</v>
      </c>
      <c r="MUC335" s="301" t="s">
        <v>470</v>
      </c>
      <c r="MUD335" s="301" t="s">
        <v>470</v>
      </c>
      <c r="MUE335" s="301" t="s">
        <v>470</v>
      </c>
      <c r="MUF335" s="301" t="s">
        <v>470</v>
      </c>
      <c r="MUG335" s="301" t="s">
        <v>470</v>
      </c>
      <c r="MUH335" s="301" t="s">
        <v>470</v>
      </c>
      <c r="MUI335" s="301" t="s">
        <v>470</v>
      </c>
      <c r="MUJ335" s="301" t="s">
        <v>470</v>
      </c>
      <c r="MUK335" s="301" t="s">
        <v>470</v>
      </c>
      <c r="MUL335" s="301" t="s">
        <v>470</v>
      </c>
      <c r="MUM335" s="301" t="s">
        <v>470</v>
      </c>
      <c r="MUN335" s="301" t="s">
        <v>470</v>
      </c>
      <c r="MUO335" s="301" t="s">
        <v>470</v>
      </c>
      <c r="MUP335" s="301" t="s">
        <v>470</v>
      </c>
      <c r="MUQ335" s="301" t="s">
        <v>470</v>
      </c>
      <c r="MUR335" s="301" t="s">
        <v>470</v>
      </c>
      <c r="MUS335" s="301" t="s">
        <v>470</v>
      </c>
      <c r="MUT335" s="301" t="s">
        <v>470</v>
      </c>
      <c r="MUU335" s="301" t="s">
        <v>470</v>
      </c>
      <c r="MUV335" s="301" t="s">
        <v>470</v>
      </c>
      <c r="MUW335" s="301" t="s">
        <v>470</v>
      </c>
      <c r="MUX335" s="301" t="s">
        <v>470</v>
      </c>
      <c r="MUY335" s="301" t="s">
        <v>470</v>
      </c>
      <c r="MUZ335" s="301" t="s">
        <v>470</v>
      </c>
      <c r="MVA335" s="301" t="s">
        <v>470</v>
      </c>
      <c r="MVB335" s="301" t="s">
        <v>470</v>
      </c>
      <c r="MVC335" s="301" t="s">
        <v>470</v>
      </c>
      <c r="MVD335" s="301" t="s">
        <v>470</v>
      </c>
      <c r="MVE335" s="301" t="s">
        <v>470</v>
      </c>
      <c r="MVF335" s="301" t="s">
        <v>470</v>
      </c>
      <c r="MVG335" s="301" t="s">
        <v>470</v>
      </c>
      <c r="MVH335" s="301" t="s">
        <v>470</v>
      </c>
      <c r="MVI335" s="301" t="s">
        <v>470</v>
      </c>
      <c r="MVJ335" s="301" t="s">
        <v>470</v>
      </c>
      <c r="MVK335" s="301" t="s">
        <v>470</v>
      </c>
      <c r="MVL335" s="301" t="s">
        <v>470</v>
      </c>
      <c r="MVM335" s="301" t="s">
        <v>470</v>
      </c>
      <c r="MVN335" s="301" t="s">
        <v>470</v>
      </c>
      <c r="MVO335" s="301" t="s">
        <v>470</v>
      </c>
      <c r="MVP335" s="301" t="s">
        <v>470</v>
      </c>
      <c r="MVQ335" s="301" t="s">
        <v>470</v>
      </c>
      <c r="MVR335" s="301" t="s">
        <v>470</v>
      </c>
      <c r="MVS335" s="301" t="s">
        <v>470</v>
      </c>
      <c r="MVT335" s="301" t="s">
        <v>470</v>
      </c>
      <c r="MVU335" s="301" t="s">
        <v>470</v>
      </c>
      <c r="MVV335" s="301" t="s">
        <v>470</v>
      </c>
      <c r="MVW335" s="301" t="s">
        <v>470</v>
      </c>
      <c r="MVX335" s="301" t="s">
        <v>470</v>
      </c>
      <c r="MVY335" s="301" t="s">
        <v>470</v>
      </c>
      <c r="MVZ335" s="301" t="s">
        <v>470</v>
      </c>
      <c r="MWA335" s="301" t="s">
        <v>470</v>
      </c>
      <c r="MWB335" s="301" t="s">
        <v>470</v>
      </c>
      <c r="MWC335" s="301" t="s">
        <v>470</v>
      </c>
      <c r="MWD335" s="301" t="s">
        <v>470</v>
      </c>
      <c r="MWE335" s="301" t="s">
        <v>470</v>
      </c>
      <c r="MWF335" s="301" t="s">
        <v>470</v>
      </c>
      <c r="MWG335" s="301" t="s">
        <v>470</v>
      </c>
      <c r="MWH335" s="301" t="s">
        <v>470</v>
      </c>
      <c r="MWI335" s="301" t="s">
        <v>470</v>
      </c>
      <c r="MWJ335" s="301" t="s">
        <v>470</v>
      </c>
      <c r="MWK335" s="301" t="s">
        <v>470</v>
      </c>
      <c r="MWL335" s="301" t="s">
        <v>470</v>
      </c>
      <c r="MWM335" s="301" t="s">
        <v>470</v>
      </c>
      <c r="MWN335" s="301" t="s">
        <v>470</v>
      </c>
      <c r="MWO335" s="301" t="s">
        <v>470</v>
      </c>
      <c r="MWP335" s="301" t="s">
        <v>470</v>
      </c>
      <c r="MWQ335" s="301" t="s">
        <v>470</v>
      </c>
      <c r="MWR335" s="301" t="s">
        <v>470</v>
      </c>
      <c r="MWS335" s="301" t="s">
        <v>470</v>
      </c>
      <c r="MWT335" s="301" t="s">
        <v>470</v>
      </c>
      <c r="MWU335" s="301" t="s">
        <v>470</v>
      </c>
      <c r="MWV335" s="301" t="s">
        <v>470</v>
      </c>
      <c r="MWW335" s="301" t="s">
        <v>470</v>
      </c>
      <c r="MWX335" s="301" t="s">
        <v>470</v>
      </c>
      <c r="MWY335" s="301" t="s">
        <v>470</v>
      </c>
      <c r="MWZ335" s="301" t="s">
        <v>470</v>
      </c>
      <c r="MXA335" s="301" t="s">
        <v>470</v>
      </c>
      <c r="MXB335" s="301" t="s">
        <v>470</v>
      </c>
      <c r="MXC335" s="301" t="s">
        <v>470</v>
      </c>
      <c r="MXD335" s="301" t="s">
        <v>470</v>
      </c>
      <c r="MXE335" s="301" t="s">
        <v>470</v>
      </c>
      <c r="MXF335" s="301" t="s">
        <v>470</v>
      </c>
      <c r="MXG335" s="301" t="s">
        <v>470</v>
      </c>
      <c r="MXH335" s="301" t="s">
        <v>470</v>
      </c>
      <c r="MXI335" s="301" t="s">
        <v>470</v>
      </c>
      <c r="MXJ335" s="301" t="s">
        <v>470</v>
      </c>
      <c r="MXK335" s="301" t="s">
        <v>470</v>
      </c>
      <c r="MXL335" s="301" t="s">
        <v>470</v>
      </c>
      <c r="MXM335" s="301" t="s">
        <v>470</v>
      </c>
      <c r="MXN335" s="301" t="s">
        <v>470</v>
      </c>
      <c r="MXO335" s="301" t="s">
        <v>470</v>
      </c>
      <c r="MXP335" s="301" t="s">
        <v>470</v>
      </c>
      <c r="MXQ335" s="301" t="s">
        <v>470</v>
      </c>
      <c r="MXR335" s="301" t="s">
        <v>470</v>
      </c>
      <c r="MXS335" s="301" t="s">
        <v>470</v>
      </c>
      <c r="MXT335" s="301" t="s">
        <v>470</v>
      </c>
      <c r="MXU335" s="301" t="s">
        <v>470</v>
      </c>
      <c r="MXV335" s="301" t="s">
        <v>470</v>
      </c>
      <c r="MXW335" s="301" t="s">
        <v>470</v>
      </c>
      <c r="MXX335" s="301" t="s">
        <v>470</v>
      </c>
      <c r="MXY335" s="301" t="s">
        <v>470</v>
      </c>
      <c r="MXZ335" s="301" t="s">
        <v>470</v>
      </c>
      <c r="MYA335" s="301" t="s">
        <v>470</v>
      </c>
      <c r="MYB335" s="301" t="s">
        <v>470</v>
      </c>
      <c r="MYC335" s="301" t="s">
        <v>470</v>
      </c>
      <c r="MYD335" s="301" t="s">
        <v>470</v>
      </c>
      <c r="MYE335" s="301" t="s">
        <v>470</v>
      </c>
      <c r="MYF335" s="301" t="s">
        <v>470</v>
      </c>
      <c r="MYG335" s="301" t="s">
        <v>470</v>
      </c>
      <c r="MYH335" s="301" t="s">
        <v>470</v>
      </c>
      <c r="MYI335" s="301" t="s">
        <v>470</v>
      </c>
      <c r="MYJ335" s="301" t="s">
        <v>470</v>
      </c>
      <c r="MYK335" s="301" t="s">
        <v>470</v>
      </c>
      <c r="MYL335" s="301" t="s">
        <v>470</v>
      </c>
      <c r="MYM335" s="301" t="s">
        <v>470</v>
      </c>
      <c r="MYN335" s="301" t="s">
        <v>470</v>
      </c>
      <c r="MYO335" s="301" t="s">
        <v>470</v>
      </c>
      <c r="MYP335" s="301" t="s">
        <v>470</v>
      </c>
      <c r="MYQ335" s="301" t="s">
        <v>470</v>
      </c>
      <c r="MYR335" s="301" t="s">
        <v>470</v>
      </c>
      <c r="MYS335" s="301" t="s">
        <v>470</v>
      </c>
      <c r="MYT335" s="301" t="s">
        <v>470</v>
      </c>
      <c r="MYU335" s="301" t="s">
        <v>470</v>
      </c>
      <c r="MYV335" s="301" t="s">
        <v>470</v>
      </c>
      <c r="MYW335" s="301" t="s">
        <v>470</v>
      </c>
      <c r="MYX335" s="301" t="s">
        <v>470</v>
      </c>
      <c r="MYY335" s="301" t="s">
        <v>470</v>
      </c>
      <c r="MYZ335" s="301" t="s">
        <v>470</v>
      </c>
      <c r="MZA335" s="301" t="s">
        <v>470</v>
      </c>
      <c r="MZB335" s="301" t="s">
        <v>470</v>
      </c>
      <c r="MZC335" s="301" t="s">
        <v>470</v>
      </c>
      <c r="MZD335" s="301" t="s">
        <v>470</v>
      </c>
      <c r="MZE335" s="301" t="s">
        <v>470</v>
      </c>
      <c r="MZF335" s="301" t="s">
        <v>470</v>
      </c>
      <c r="MZG335" s="301" t="s">
        <v>470</v>
      </c>
      <c r="MZH335" s="301" t="s">
        <v>470</v>
      </c>
      <c r="MZI335" s="301" t="s">
        <v>470</v>
      </c>
      <c r="MZJ335" s="301" t="s">
        <v>470</v>
      </c>
      <c r="MZK335" s="301" t="s">
        <v>470</v>
      </c>
      <c r="MZL335" s="301" t="s">
        <v>470</v>
      </c>
      <c r="MZM335" s="301" t="s">
        <v>470</v>
      </c>
      <c r="MZN335" s="301" t="s">
        <v>470</v>
      </c>
      <c r="MZO335" s="301" t="s">
        <v>470</v>
      </c>
      <c r="MZP335" s="301" t="s">
        <v>470</v>
      </c>
      <c r="MZQ335" s="301" t="s">
        <v>470</v>
      </c>
      <c r="MZR335" s="301" t="s">
        <v>470</v>
      </c>
      <c r="MZS335" s="301" t="s">
        <v>470</v>
      </c>
      <c r="MZT335" s="301" t="s">
        <v>470</v>
      </c>
      <c r="MZU335" s="301" t="s">
        <v>470</v>
      </c>
      <c r="MZV335" s="301" t="s">
        <v>470</v>
      </c>
      <c r="MZW335" s="301" t="s">
        <v>470</v>
      </c>
      <c r="MZX335" s="301" t="s">
        <v>470</v>
      </c>
      <c r="MZY335" s="301" t="s">
        <v>470</v>
      </c>
      <c r="MZZ335" s="301" t="s">
        <v>470</v>
      </c>
      <c r="NAA335" s="301" t="s">
        <v>470</v>
      </c>
      <c r="NAB335" s="301" t="s">
        <v>470</v>
      </c>
      <c r="NAC335" s="301" t="s">
        <v>470</v>
      </c>
      <c r="NAD335" s="301" t="s">
        <v>470</v>
      </c>
      <c r="NAE335" s="301" t="s">
        <v>470</v>
      </c>
      <c r="NAF335" s="301" t="s">
        <v>470</v>
      </c>
      <c r="NAG335" s="301" t="s">
        <v>470</v>
      </c>
      <c r="NAH335" s="301" t="s">
        <v>470</v>
      </c>
      <c r="NAI335" s="301" t="s">
        <v>470</v>
      </c>
      <c r="NAJ335" s="301" t="s">
        <v>470</v>
      </c>
      <c r="NAK335" s="301" t="s">
        <v>470</v>
      </c>
      <c r="NAL335" s="301" t="s">
        <v>470</v>
      </c>
      <c r="NAM335" s="301" t="s">
        <v>470</v>
      </c>
      <c r="NAN335" s="301" t="s">
        <v>470</v>
      </c>
      <c r="NAO335" s="301" t="s">
        <v>470</v>
      </c>
      <c r="NAP335" s="301" t="s">
        <v>470</v>
      </c>
      <c r="NAQ335" s="301" t="s">
        <v>470</v>
      </c>
      <c r="NAR335" s="301" t="s">
        <v>470</v>
      </c>
      <c r="NAS335" s="301" t="s">
        <v>470</v>
      </c>
      <c r="NAT335" s="301" t="s">
        <v>470</v>
      </c>
      <c r="NAU335" s="301" t="s">
        <v>470</v>
      </c>
      <c r="NAV335" s="301" t="s">
        <v>470</v>
      </c>
      <c r="NAW335" s="301" t="s">
        <v>470</v>
      </c>
      <c r="NAX335" s="301" t="s">
        <v>470</v>
      </c>
      <c r="NAY335" s="301" t="s">
        <v>470</v>
      </c>
      <c r="NAZ335" s="301" t="s">
        <v>470</v>
      </c>
      <c r="NBA335" s="301" t="s">
        <v>470</v>
      </c>
      <c r="NBB335" s="301" t="s">
        <v>470</v>
      </c>
      <c r="NBC335" s="301" t="s">
        <v>470</v>
      </c>
      <c r="NBD335" s="301" t="s">
        <v>470</v>
      </c>
      <c r="NBE335" s="301" t="s">
        <v>470</v>
      </c>
      <c r="NBF335" s="301" t="s">
        <v>470</v>
      </c>
      <c r="NBG335" s="301" t="s">
        <v>470</v>
      </c>
      <c r="NBH335" s="301" t="s">
        <v>470</v>
      </c>
      <c r="NBI335" s="301" t="s">
        <v>470</v>
      </c>
      <c r="NBJ335" s="301" t="s">
        <v>470</v>
      </c>
      <c r="NBK335" s="301" t="s">
        <v>470</v>
      </c>
      <c r="NBL335" s="301" t="s">
        <v>470</v>
      </c>
      <c r="NBM335" s="301" t="s">
        <v>470</v>
      </c>
      <c r="NBN335" s="301" t="s">
        <v>470</v>
      </c>
      <c r="NBO335" s="301" t="s">
        <v>470</v>
      </c>
      <c r="NBP335" s="301" t="s">
        <v>470</v>
      </c>
      <c r="NBQ335" s="301" t="s">
        <v>470</v>
      </c>
      <c r="NBR335" s="301" t="s">
        <v>470</v>
      </c>
      <c r="NBS335" s="301" t="s">
        <v>470</v>
      </c>
      <c r="NBT335" s="301" t="s">
        <v>470</v>
      </c>
      <c r="NBU335" s="301" t="s">
        <v>470</v>
      </c>
      <c r="NBV335" s="301" t="s">
        <v>470</v>
      </c>
      <c r="NBW335" s="301" t="s">
        <v>470</v>
      </c>
      <c r="NBX335" s="301" t="s">
        <v>470</v>
      </c>
      <c r="NBY335" s="301" t="s">
        <v>470</v>
      </c>
      <c r="NBZ335" s="301" t="s">
        <v>470</v>
      </c>
      <c r="NCA335" s="301" t="s">
        <v>470</v>
      </c>
      <c r="NCB335" s="301" t="s">
        <v>470</v>
      </c>
      <c r="NCC335" s="301" t="s">
        <v>470</v>
      </c>
      <c r="NCD335" s="301" t="s">
        <v>470</v>
      </c>
      <c r="NCE335" s="301" t="s">
        <v>470</v>
      </c>
      <c r="NCF335" s="301" t="s">
        <v>470</v>
      </c>
      <c r="NCG335" s="301" t="s">
        <v>470</v>
      </c>
      <c r="NCH335" s="301" t="s">
        <v>470</v>
      </c>
      <c r="NCI335" s="301" t="s">
        <v>470</v>
      </c>
      <c r="NCJ335" s="301" t="s">
        <v>470</v>
      </c>
      <c r="NCK335" s="301" t="s">
        <v>470</v>
      </c>
      <c r="NCL335" s="301" t="s">
        <v>470</v>
      </c>
      <c r="NCM335" s="301" t="s">
        <v>470</v>
      </c>
      <c r="NCN335" s="301" t="s">
        <v>470</v>
      </c>
      <c r="NCO335" s="301" t="s">
        <v>470</v>
      </c>
      <c r="NCP335" s="301" t="s">
        <v>470</v>
      </c>
      <c r="NCQ335" s="301" t="s">
        <v>470</v>
      </c>
      <c r="NCR335" s="301" t="s">
        <v>470</v>
      </c>
      <c r="NCS335" s="301" t="s">
        <v>470</v>
      </c>
      <c r="NCT335" s="301" t="s">
        <v>470</v>
      </c>
      <c r="NCU335" s="301" t="s">
        <v>470</v>
      </c>
      <c r="NCV335" s="301" t="s">
        <v>470</v>
      </c>
      <c r="NCW335" s="301" t="s">
        <v>470</v>
      </c>
      <c r="NCX335" s="301" t="s">
        <v>470</v>
      </c>
      <c r="NCY335" s="301" t="s">
        <v>470</v>
      </c>
      <c r="NCZ335" s="301" t="s">
        <v>470</v>
      </c>
      <c r="NDA335" s="301" t="s">
        <v>470</v>
      </c>
      <c r="NDB335" s="301" t="s">
        <v>470</v>
      </c>
      <c r="NDC335" s="301" t="s">
        <v>470</v>
      </c>
      <c r="NDD335" s="301" t="s">
        <v>470</v>
      </c>
      <c r="NDE335" s="301" t="s">
        <v>470</v>
      </c>
      <c r="NDF335" s="301" t="s">
        <v>470</v>
      </c>
      <c r="NDG335" s="301" t="s">
        <v>470</v>
      </c>
      <c r="NDH335" s="301" t="s">
        <v>470</v>
      </c>
      <c r="NDI335" s="301" t="s">
        <v>470</v>
      </c>
      <c r="NDJ335" s="301" t="s">
        <v>470</v>
      </c>
      <c r="NDK335" s="301" t="s">
        <v>470</v>
      </c>
      <c r="NDL335" s="301" t="s">
        <v>470</v>
      </c>
      <c r="NDM335" s="301" t="s">
        <v>470</v>
      </c>
      <c r="NDN335" s="301" t="s">
        <v>470</v>
      </c>
      <c r="NDO335" s="301" t="s">
        <v>470</v>
      </c>
      <c r="NDP335" s="301" t="s">
        <v>470</v>
      </c>
      <c r="NDQ335" s="301" t="s">
        <v>470</v>
      </c>
      <c r="NDR335" s="301" t="s">
        <v>470</v>
      </c>
      <c r="NDS335" s="301" t="s">
        <v>470</v>
      </c>
      <c r="NDT335" s="301" t="s">
        <v>470</v>
      </c>
      <c r="NDU335" s="301" t="s">
        <v>470</v>
      </c>
      <c r="NDV335" s="301" t="s">
        <v>470</v>
      </c>
      <c r="NDW335" s="301" t="s">
        <v>470</v>
      </c>
      <c r="NDX335" s="301" t="s">
        <v>470</v>
      </c>
      <c r="NDY335" s="301" t="s">
        <v>470</v>
      </c>
      <c r="NDZ335" s="301" t="s">
        <v>470</v>
      </c>
      <c r="NEA335" s="301" t="s">
        <v>470</v>
      </c>
      <c r="NEB335" s="301" t="s">
        <v>470</v>
      </c>
      <c r="NEC335" s="301" t="s">
        <v>470</v>
      </c>
      <c r="NED335" s="301" t="s">
        <v>470</v>
      </c>
      <c r="NEE335" s="301" t="s">
        <v>470</v>
      </c>
      <c r="NEF335" s="301" t="s">
        <v>470</v>
      </c>
      <c r="NEG335" s="301" t="s">
        <v>470</v>
      </c>
      <c r="NEH335" s="301" t="s">
        <v>470</v>
      </c>
      <c r="NEI335" s="301" t="s">
        <v>470</v>
      </c>
      <c r="NEJ335" s="301" t="s">
        <v>470</v>
      </c>
      <c r="NEK335" s="301" t="s">
        <v>470</v>
      </c>
      <c r="NEL335" s="301" t="s">
        <v>470</v>
      </c>
      <c r="NEM335" s="301" t="s">
        <v>470</v>
      </c>
      <c r="NEN335" s="301" t="s">
        <v>470</v>
      </c>
      <c r="NEO335" s="301" t="s">
        <v>470</v>
      </c>
      <c r="NEP335" s="301" t="s">
        <v>470</v>
      </c>
      <c r="NEQ335" s="301" t="s">
        <v>470</v>
      </c>
      <c r="NER335" s="301" t="s">
        <v>470</v>
      </c>
      <c r="NES335" s="301" t="s">
        <v>470</v>
      </c>
      <c r="NET335" s="301" t="s">
        <v>470</v>
      </c>
      <c r="NEU335" s="301" t="s">
        <v>470</v>
      </c>
      <c r="NEV335" s="301" t="s">
        <v>470</v>
      </c>
      <c r="NEW335" s="301" t="s">
        <v>470</v>
      </c>
      <c r="NEX335" s="301" t="s">
        <v>470</v>
      </c>
      <c r="NEY335" s="301" t="s">
        <v>470</v>
      </c>
      <c r="NEZ335" s="301" t="s">
        <v>470</v>
      </c>
      <c r="NFA335" s="301" t="s">
        <v>470</v>
      </c>
      <c r="NFB335" s="301" t="s">
        <v>470</v>
      </c>
      <c r="NFC335" s="301" t="s">
        <v>470</v>
      </c>
      <c r="NFD335" s="301" t="s">
        <v>470</v>
      </c>
      <c r="NFE335" s="301" t="s">
        <v>470</v>
      </c>
      <c r="NFF335" s="301" t="s">
        <v>470</v>
      </c>
      <c r="NFG335" s="301" t="s">
        <v>470</v>
      </c>
      <c r="NFH335" s="301" t="s">
        <v>470</v>
      </c>
      <c r="NFI335" s="301" t="s">
        <v>470</v>
      </c>
      <c r="NFJ335" s="301" t="s">
        <v>470</v>
      </c>
      <c r="NFK335" s="301" t="s">
        <v>470</v>
      </c>
      <c r="NFL335" s="301" t="s">
        <v>470</v>
      </c>
      <c r="NFM335" s="301" t="s">
        <v>470</v>
      </c>
      <c r="NFN335" s="301" t="s">
        <v>470</v>
      </c>
      <c r="NFO335" s="301" t="s">
        <v>470</v>
      </c>
      <c r="NFP335" s="301" t="s">
        <v>470</v>
      </c>
      <c r="NFQ335" s="301" t="s">
        <v>470</v>
      </c>
      <c r="NFR335" s="301" t="s">
        <v>470</v>
      </c>
      <c r="NFS335" s="301" t="s">
        <v>470</v>
      </c>
      <c r="NFT335" s="301" t="s">
        <v>470</v>
      </c>
      <c r="NFU335" s="301" t="s">
        <v>470</v>
      </c>
      <c r="NFV335" s="301" t="s">
        <v>470</v>
      </c>
      <c r="NFW335" s="301" t="s">
        <v>470</v>
      </c>
      <c r="NFX335" s="301" t="s">
        <v>470</v>
      </c>
      <c r="NFY335" s="301" t="s">
        <v>470</v>
      </c>
      <c r="NFZ335" s="301" t="s">
        <v>470</v>
      </c>
      <c r="NGA335" s="301" t="s">
        <v>470</v>
      </c>
      <c r="NGB335" s="301" t="s">
        <v>470</v>
      </c>
      <c r="NGC335" s="301" t="s">
        <v>470</v>
      </c>
      <c r="NGD335" s="301" t="s">
        <v>470</v>
      </c>
      <c r="NGE335" s="301" t="s">
        <v>470</v>
      </c>
      <c r="NGF335" s="301" t="s">
        <v>470</v>
      </c>
      <c r="NGG335" s="301" t="s">
        <v>470</v>
      </c>
      <c r="NGH335" s="301" t="s">
        <v>470</v>
      </c>
      <c r="NGI335" s="301" t="s">
        <v>470</v>
      </c>
      <c r="NGJ335" s="301" t="s">
        <v>470</v>
      </c>
      <c r="NGK335" s="301" t="s">
        <v>470</v>
      </c>
      <c r="NGL335" s="301" t="s">
        <v>470</v>
      </c>
      <c r="NGM335" s="301" t="s">
        <v>470</v>
      </c>
      <c r="NGN335" s="301" t="s">
        <v>470</v>
      </c>
      <c r="NGO335" s="301" t="s">
        <v>470</v>
      </c>
      <c r="NGP335" s="301" t="s">
        <v>470</v>
      </c>
      <c r="NGQ335" s="301" t="s">
        <v>470</v>
      </c>
      <c r="NGR335" s="301" t="s">
        <v>470</v>
      </c>
      <c r="NGS335" s="301" t="s">
        <v>470</v>
      </c>
      <c r="NGT335" s="301" t="s">
        <v>470</v>
      </c>
      <c r="NGU335" s="301" t="s">
        <v>470</v>
      </c>
      <c r="NGV335" s="301" t="s">
        <v>470</v>
      </c>
      <c r="NGW335" s="301" t="s">
        <v>470</v>
      </c>
      <c r="NGX335" s="301" t="s">
        <v>470</v>
      </c>
      <c r="NGY335" s="301" t="s">
        <v>470</v>
      </c>
      <c r="NGZ335" s="301" t="s">
        <v>470</v>
      </c>
      <c r="NHA335" s="301" t="s">
        <v>470</v>
      </c>
      <c r="NHB335" s="301" t="s">
        <v>470</v>
      </c>
      <c r="NHC335" s="301" t="s">
        <v>470</v>
      </c>
      <c r="NHD335" s="301" t="s">
        <v>470</v>
      </c>
      <c r="NHE335" s="301" t="s">
        <v>470</v>
      </c>
      <c r="NHF335" s="301" t="s">
        <v>470</v>
      </c>
      <c r="NHG335" s="301" t="s">
        <v>470</v>
      </c>
      <c r="NHH335" s="301" t="s">
        <v>470</v>
      </c>
      <c r="NHI335" s="301" t="s">
        <v>470</v>
      </c>
      <c r="NHJ335" s="301" t="s">
        <v>470</v>
      </c>
      <c r="NHK335" s="301" t="s">
        <v>470</v>
      </c>
      <c r="NHL335" s="301" t="s">
        <v>470</v>
      </c>
      <c r="NHM335" s="301" t="s">
        <v>470</v>
      </c>
      <c r="NHN335" s="301" t="s">
        <v>470</v>
      </c>
      <c r="NHO335" s="301" t="s">
        <v>470</v>
      </c>
      <c r="NHP335" s="301" t="s">
        <v>470</v>
      </c>
      <c r="NHQ335" s="301" t="s">
        <v>470</v>
      </c>
      <c r="NHR335" s="301" t="s">
        <v>470</v>
      </c>
      <c r="NHS335" s="301" t="s">
        <v>470</v>
      </c>
      <c r="NHT335" s="301" t="s">
        <v>470</v>
      </c>
      <c r="NHU335" s="301" t="s">
        <v>470</v>
      </c>
      <c r="NHV335" s="301" t="s">
        <v>470</v>
      </c>
      <c r="NHW335" s="301" t="s">
        <v>470</v>
      </c>
      <c r="NHX335" s="301" t="s">
        <v>470</v>
      </c>
      <c r="NHY335" s="301" t="s">
        <v>470</v>
      </c>
      <c r="NHZ335" s="301" t="s">
        <v>470</v>
      </c>
      <c r="NIA335" s="301" t="s">
        <v>470</v>
      </c>
      <c r="NIB335" s="301" t="s">
        <v>470</v>
      </c>
      <c r="NIC335" s="301" t="s">
        <v>470</v>
      </c>
      <c r="NID335" s="301" t="s">
        <v>470</v>
      </c>
      <c r="NIE335" s="301" t="s">
        <v>470</v>
      </c>
      <c r="NIF335" s="301" t="s">
        <v>470</v>
      </c>
      <c r="NIG335" s="301" t="s">
        <v>470</v>
      </c>
      <c r="NIH335" s="301" t="s">
        <v>470</v>
      </c>
      <c r="NII335" s="301" t="s">
        <v>470</v>
      </c>
      <c r="NIJ335" s="301" t="s">
        <v>470</v>
      </c>
      <c r="NIK335" s="301" t="s">
        <v>470</v>
      </c>
      <c r="NIL335" s="301" t="s">
        <v>470</v>
      </c>
      <c r="NIM335" s="301" t="s">
        <v>470</v>
      </c>
      <c r="NIN335" s="301" t="s">
        <v>470</v>
      </c>
      <c r="NIO335" s="301" t="s">
        <v>470</v>
      </c>
      <c r="NIP335" s="301" t="s">
        <v>470</v>
      </c>
      <c r="NIQ335" s="301" t="s">
        <v>470</v>
      </c>
      <c r="NIR335" s="301" t="s">
        <v>470</v>
      </c>
      <c r="NIS335" s="301" t="s">
        <v>470</v>
      </c>
      <c r="NIT335" s="301" t="s">
        <v>470</v>
      </c>
      <c r="NIU335" s="301" t="s">
        <v>470</v>
      </c>
      <c r="NIV335" s="301" t="s">
        <v>470</v>
      </c>
      <c r="NIW335" s="301" t="s">
        <v>470</v>
      </c>
      <c r="NIX335" s="301" t="s">
        <v>470</v>
      </c>
      <c r="NIY335" s="301" t="s">
        <v>470</v>
      </c>
      <c r="NIZ335" s="301" t="s">
        <v>470</v>
      </c>
      <c r="NJA335" s="301" t="s">
        <v>470</v>
      </c>
      <c r="NJB335" s="301" t="s">
        <v>470</v>
      </c>
      <c r="NJC335" s="301" t="s">
        <v>470</v>
      </c>
      <c r="NJD335" s="301" t="s">
        <v>470</v>
      </c>
      <c r="NJE335" s="301" t="s">
        <v>470</v>
      </c>
      <c r="NJF335" s="301" t="s">
        <v>470</v>
      </c>
      <c r="NJG335" s="301" t="s">
        <v>470</v>
      </c>
      <c r="NJH335" s="301" t="s">
        <v>470</v>
      </c>
      <c r="NJI335" s="301" t="s">
        <v>470</v>
      </c>
      <c r="NJJ335" s="301" t="s">
        <v>470</v>
      </c>
      <c r="NJK335" s="301" t="s">
        <v>470</v>
      </c>
      <c r="NJL335" s="301" t="s">
        <v>470</v>
      </c>
      <c r="NJM335" s="301" t="s">
        <v>470</v>
      </c>
      <c r="NJN335" s="301" t="s">
        <v>470</v>
      </c>
      <c r="NJO335" s="301" t="s">
        <v>470</v>
      </c>
      <c r="NJP335" s="301" t="s">
        <v>470</v>
      </c>
      <c r="NJQ335" s="301" t="s">
        <v>470</v>
      </c>
      <c r="NJR335" s="301" t="s">
        <v>470</v>
      </c>
      <c r="NJS335" s="301" t="s">
        <v>470</v>
      </c>
      <c r="NJT335" s="301" t="s">
        <v>470</v>
      </c>
      <c r="NJU335" s="301" t="s">
        <v>470</v>
      </c>
      <c r="NJV335" s="301" t="s">
        <v>470</v>
      </c>
      <c r="NJW335" s="301" t="s">
        <v>470</v>
      </c>
      <c r="NJX335" s="301" t="s">
        <v>470</v>
      </c>
      <c r="NJY335" s="301" t="s">
        <v>470</v>
      </c>
      <c r="NJZ335" s="301" t="s">
        <v>470</v>
      </c>
      <c r="NKA335" s="301" t="s">
        <v>470</v>
      </c>
      <c r="NKB335" s="301" t="s">
        <v>470</v>
      </c>
      <c r="NKC335" s="301" t="s">
        <v>470</v>
      </c>
      <c r="NKD335" s="301" t="s">
        <v>470</v>
      </c>
      <c r="NKE335" s="301" t="s">
        <v>470</v>
      </c>
      <c r="NKF335" s="301" t="s">
        <v>470</v>
      </c>
      <c r="NKG335" s="301" t="s">
        <v>470</v>
      </c>
      <c r="NKH335" s="301" t="s">
        <v>470</v>
      </c>
      <c r="NKI335" s="301" t="s">
        <v>470</v>
      </c>
      <c r="NKJ335" s="301" t="s">
        <v>470</v>
      </c>
      <c r="NKK335" s="301" t="s">
        <v>470</v>
      </c>
      <c r="NKL335" s="301" t="s">
        <v>470</v>
      </c>
      <c r="NKM335" s="301" t="s">
        <v>470</v>
      </c>
      <c r="NKN335" s="301" t="s">
        <v>470</v>
      </c>
      <c r="NKO335" s="301" t="s">
        <v>470</v>
      </c>
      <c r="NKP335" s="301" t="s">
        <v>470</v>
      </c>
      <c r="NKQ335" s="301" t="s">
        <v>470</v>
      </c>
      <c r="NKR335" s="301" t="s">
        <v>470</v>
      </c>
      <c r="NKS335" s="301" t="s">
        <v>470</v>
      </c>
      <c r="NKT335" s="301" t="s">
        <v>470</v>
      </c>
      <c r="NKU335" s="301" t="s">
        <v>470</v>
      </c>
      <c r="NKV335" s="301" t="s">
        <v>470</v>
      </c>
      <c r="NKW335" s="301" t="s">
        <v>470</v>
      </c>
      <c r="NKX335" s="301" t="s">
        <v>470</v>
      </c>
      <c r="NKY335" s="301" t="s">
        <v>470</v>
      </c>
      <c r="NKZ335" s="301" t="s">
        <v>470</v>
      </c>
      <c r="NLA335" s="301" t="s">
        <v>470</v>
      </c>
      <c r="NLB335" s="301" t="s">
        <v>470</v>
      </c>
      <c r="NLC335" s="301" t="s">
        <v>470</v>
      </c>
      <c r="NLD335" s="301" t="s">
        <v>470</v>
      </c>
      <c r="NLE335" s="301" t="s">
        <v>470</v>
      </c>
      <c r="NLF335" s="301" t="s">
        <v>470</v>
      </c>
      <c r="NLG335" s="301" t="s">
        <v>470</v>
      </c>
      <c r="NLH335" s="301" t="s">
        <v>470</v>
      </c>
      <c r="NLI335" s="301" t="s">
        <v>470</v>
      </c>
      <c r="NLJ335" s="301" t="s">
        <v>470</v>
      </c>
      <c r="NLK335" s="301" t="s">
        <v>470</v>
      </c>
      <c r="NLL335" s="301" t="s">
        <v>470</v>
      </c>
      <c r="NLM335" s="301" t="s">
        <v>470</v>
      </c>
      <c r="NLN335" s="301" t="s">
        <v>470</v>
      </c>
      <c r="NLO335" s="301" t="s">
        <v>470</v>
      </c>
      <c r="NLP335" s="301" t="s">
        <v>470</v>
      </c>
      <c r="NLQ335" s="301" t="s">
        <v>470</v>
      </c>
      <c r="NLR335" s="301" t="s">
        <v>470</v>
      </c>
      <c r="NLS335" s="301" t="s">
        <v>470</v>
      </c>
      <c r="NLT335" s="301" t="s">
        <v>470</v>
      </c>
      <c r="NLU335" s="301" t="s">
        <v>470</v>
      </c>
      <c r="NLV335" s="301" t="s">
        <v>470</v>
      </c>
      <c r="NLW335" s="301" t="s">
        <v>470</v>
      </c>
      <c r="NLX335" s="301" t="s">
        <v>470</v>
      </c>
      <c r="NLY335" s="301" t="s">
        <v>470</v>
      </c>
      <c r="NLZ335" s="301" t="s">
        <v>470</v>
      </c>
      <c r="NMA335" s="301" t="s">
        <v>470</v>
      </c>
      <c r="NMB335" s="301" t="s">
        <v>470</v>
      </c>
      <c r="NMC335" s="301" t="s">
        <v>470</v>
      </c>
      <c r="NMD335" s="301" t="s">
        <v>470</v>
      </c>
      <c r="NME335" s="301" t="s">
        <v>470</v>
      </c>
      <c r="NMF335" s="301" t="s">
        <v>470</v>
      </c>
      <c r="NMG335" s="301" t="s">
        <v>470</v>
      </c>
      <c r="NMH335" s="301" t="s">
        <v>470</v>
      </c>
      <c r="NMI335" s="301" t="s">
        <v>470</v>
      </c>
      <c r="NMJ335" s="301" t="s">
        <v>470</v>
      </c>
      <c r="NMK335" s="301" t="s">
        <v>470</v>
      </c>
      <c r="NML335" s="301" t="s">
        <v>470</v>
      </c>
      <c r="NMM335" s="301" t="s">
        <v>470</v>
      </c>
      <c r="NMN335" s="301" t="s">
        <v>470</v>
      </c>
      <c r="NMO335" s="301" t="s">
        <v>470</v>
      </c>
      <c r="NMP335" s="301" t="s">
        <v>470</v>
      </c>
      <c r="NMQ335" s="301" t="s">
        <v>470</v>
      </c>
      <c r="NMR335" s="301" t="s">
        <v>470</v>
      </c>
      <c r="NMS335" s="301" t="s">
        <v>470</v>
      </c>
      <c r="NMT335" s="301" t="s">
        <v>470</v>
      </c>
      <c r="NMU335" s="301" t="s">
        <v>470</v>
      </c>
      <c r="NMV335" s="301" t="s">
        <v>470</v>
      </c>
      <c r="NMW335" s="301" t="s">
        <v>470</v>
      </c>
      <c r="NMX335" s="301" t="s">
        <v>470</v>
      </c>
      <c r="NMY335" s="301" t="s">
        <v>470</v>
      </c>
      <c r="NMZ335" s="301" t="s">
        <v>470</v>
      </c>
      <c r="NNA335" s="301" t="s">
        <v>470</v>
      </c>
      <c r="NNB335" s="301" t="s">
        <v>470</v>
      </c>
      <c r="NNC335" s="301" t="s">
        <v>470</v>
      </c>
      <c r="NND335" s="301" t="s">
        <v>470</v>
      </c>
      <c r="NNE335" s="301" t="s">
        <v>470</v>
      </c>
      <c r="NNF335" s="301" t="s">
        <v>470</v>
      </c>
      <c r="NNG335" s="301" t="s">
        <v>470</v>
      </c>
      <c r="NNH335" s="301" t="s">
        <v>470</v>
      </c>
      <c r="NNI335" s="301" t="s">
        <v>470</v>
      </c>
      <c r="NNJ335" s="301" t="s">
        <v>470</v>
      </c>
      <c r="NNK335" s="301" t="s">
        <v>470</v>
      </c>
      <c r="NNL335" s="301" t="s">
        <v>470</v>
      </c>
      <c r="NNM335" s="301" t="s">
        <v>470</v>
      </c>
      <c r="NNN335" s="301" t="s">
        <v>470</v>
      </c>
      <c r="NNO335" s="301" t="s">
        <v>470</v>
      </c>
      <c r="NNP335" s="301" t="s">
        <v>470</v>
      </c>
      <c r="NNQ335" s="301" t="s">
        <v>470</v>
      </c>
      <c r="NNR335" s="301" t="s">
        <v>470</v>
      </c>
      <c r="NNS335" s="301" t="s">
        <v>470</v>
      </c>
      <c r="NNT335" s="301" t="s">
        <v>470</v>
      </c>
      <c r="NNU335" s="301" t="s">
        <v>470</v>
      </c>
      <c r="NNV335" s="301" t="s">
        <v>470</v>
      </c>
      <c r="NNW335" s="301" t="s">
        <v>470</v>
      </c>
      <c r="NNX335" s="301" t="s">
        <v>470</v>
      </c>
      <c r="NNY335" s="301" t="s">
        <v>470</v>
      </c>
      <c r="NNZ335" s="301" t="s">
        <v>470</v>
      </c>
      <c r="NOA335" s="301" t="s">
        <v>470</v>
      </c>
      <c r="NOB335" s="301" t="s">
        <v>470</v>
      </c>
      <c r="NOC335" s="301" t="s">
        <v>470</v>
      </c>
      <c r="NOD335" s="301" t="s">
        <v>470</v>
      </c>
      <c r="NOE335" s="301" t="s">
        <v>470</v>
      </c>
      <c r="NOF335" s="301" t="s">
        <v>470</v>
      </c>
      <c r="NOG335" s="301" t="s">
        <v>470</v>
      </c>
      <c r="NOH335" s="301" t="s">
        <v>470</v>
      </c>
      <c r="NOI335" s="301" t="s">
        <v>470</v>
      </c>
      <c r="NOJ335" s="301" t="s">
        <v>470</v>
      </c>
      <c r="NOK335" s="301" t="s">
        <v>470</v>
      </c>
      <c r="NOL335" s="301" t="s">
        <v>470</v>
      </c>
      <c r="NOM335" s="301" t="s">
        <v>470</v>
      </c>
      <c r="NON335" s="301" t="s">
        <v>470</v>
      </c>
      <c r="NOO335" s="301" t="s">
        <v>470</v>
      </c>
      <c r="NOP335" s="301" t="s">
        <v>470</v>
      </c>
      <c r="NOQ335" s="301" t="s">
        <v>470</v>
      </c>
      <c r="NOR335" s="301" t="s">
        <v>470</v>
      </c>
      <c r="NOS335" s="301" t="s">
        <v>470</v>
      </c>
      <c r="NOT335" s="301" t="s">
        <v>470</v>
      </c>
      <c r="NOU335" s="301" t="s">
        <v>470</v>
      </c>
      <c r="NOV335" s="301" t="s">
        <v>470</v>
      </c>
      <c r="NOW335" s="301" t="s">
        <v>470</v>
      </c>
      <c r="NOX335" s="301" t="s">
        <v>470</v>
      </c>
      <c r="NOY335" s="301" t="s">
        <v>470</v>
      </c>
      <c r="NOZ335" s="301" t="s">
        <v>470</v>
      </c>
      <c r="NPA335" s="301" t="s">
        <v>470</v>
      </c>
      <c r="NPB335" s="301" t="s">
        <v>470</v>
      </c>
      <c r="NPC335" s="301" t="s">
        <v>470</v>
      </c>
      <c r="NPD335" s="301" t="s">
        <v>470</v>
      </c>
      <c r="NPE335" s="301" t="s">
        <v>470</v>
      </c>
      <c r="NPF335" s="301" t="s">
        <v>470</v>
      </c>
      <c r="NPG335" s="301" t="s">
        <v>470</v>
      </c>
      <c r="NPH335" s="301" t="s">
        <v>470</v>
      </c>
      <c r="NPI335" s="301" t="s">
        <v>470</v>
      </c>
      <c r="NPJ335" s="301" t="s">
        <v>470</v>
      </c>
      <c r="NPK335" s="301" t="s">
        <v>470</v>
      </c>
      <c r="NPL335" s="301" t="s">
        <v>470</v>
      </c>
      <c r="NPM335" s="301" t="s">
        <v>470</v>
      </c>
      <c r="NPN335" s="301" t="s">
        <v>470</v>
      </c>
      <c r="NPO335" s="301" t="s">
        <v>470</v>
      </c>
      <c r="NPP335" s="301" t="s">
        <v>470</v>
      </c>
      <c r="NPQ335" s="301" t="s">
        <v>470</v>
      </c>
      <c r="NPR335" s="301" t="s">
        <v>470</v>
      </c>
      <c r="NPS335" s="301" t="s">
        <v>470</v>
      </c>
      <c r="NPT335" s="301" t="s">
        <v>470</v>
      </c>
      <c r="NPU335" s="301" t="s">
        <v>470</v>
      </c>
      <c r="NPV335" s="301" t="s">
        <v>470</v>
      </c>
      <c r="NPW335" s="301" t="s">
        <v>470</v>
      </c>
      <c r="NPX335" s="301" t="s">
        <v>470</v>
      </c>
      <c r="NPY335" s="301" t="s">
        <v>470</v>
      </c>
      <c r="NPZ335" s="301" t="s">
        <v>470</v>
      </c>
      <c r="NQA335" s="301" t="s">
        <v>470</v>
      </c>
      <c r="NQB335" s="301" t="s">
        <v>470</v>
      </c>
      <c r="NQC335" s="301" t="s">
        <v>470</v>
      </c>
      <c r="NQD335" s="301" t="s">
        <v>470</v>
      </c>
      <c r="NQE335" s="301" t="s">
        <v>470</v>
      </c>
      <c r="NQF335" s="301" t="s">
        <v>470</v>
      </c>
      <c r="NQG335" s="301" t="s">
        <v>470</v>
      </c>
      <c r="NQH335" s="301" t="s">
        <v>470</v>
      </c>
      <c r="NQI335" s="301" t="s">
        <v>470</v>
      </c>
      <c r="NQJ335" s="301" t="s">
        <v>470</v>
      </c>
      <c r="NQK335" s="301" t="s">
        <v>470</v>
      </c>
      <c r="NQL335" s="301" t="s">
        <v>470</v>
      </c>
      <c r="NQM335" s="301" t="s">
        <v>470</v>
      </c>
      <c r="NQN335" s="301" t="s">
        <v>470</v>
      </c>
      <c r="NQO335" s="301" t="s">
        <v>470</v>
      </c>
      <c r="NQP335" s="301" t="s">
        <v>470</v>
      </c>
      <c r="NQQ335" s="301" t="s">
        <v>470</v>
      </c>
      <c r="NQR335" s="301" t="s">
        <v>470</v>
      </c>
      <c r="NQS335" s="301" t="s">
        <v>470</v>
      </c>
      <c r="NQT335" s="301" t="s">
        <v>470</v>
      </c>
      <c r="NQU335" s="301" t="s">
        <v>470</v>
      </c>
      <c r="NQV335" s="301" t="s">
        <v>470</v>
      </c>
      <c r="NQW335" s="301" t="s">
        <v>470</v>
      </c>
      <c r="NQX335" s="301" t="s">
        <v>470</v>
      </c>
      <c r="NQY335" s="301" t="s">
        <v>470</v>
      </c>
      <c r="NQZ335" s="301" t="s">
        <v>470</v>
      </c>
      <c r="NRA335" s="301" t="s">
        <v>470</v>
      </c>
      <c r="NRB335" s="301" t="s">
        <v>470</v>
      </c>
      <c r="NRC335" s="301" t="s">
        <v>470</v>
      </c>
      <c r="NRD335" s="301" t="s">
        <v>470</v>
      </c>
      <c r="NRE335" s="301" t="s">
        <v>470</v>
      </c>
      <c r="NRF335" s="301" t="s">
        <v>470</v>
      </c>
      <c r="NRG335" s="301" t="s">
        <v>470</v>
      </c>
      <c r="NRH335" s="301" t="s">
        <v>470</v>
      </c>
      <c r="NRI335" s="301" t="s">
        <v>470</v>
      </c>
      <c r="NRJ335" s="301" t="s">
        <v>470</v>
      </c>
      <c r="NRK335" s="301" t="s">
        <v>470</v>
      </c>
      <c r="NRL335" s="301" t="s">
        <v>470</v>
      </c>
      <c r="NRM335" s="301" t="s">
        <v>470</v>
      </c>
      <c r="NRN335" s="301" t="s">
        <v>470</v>
      </c>
      <c r="NRO335" s="301" t="s">
        <v>470</v>
      </c>
      <c r="NRP335" s="301" t="s">
        <v>470</v>
      </c>
      <c r="NRQ335" s="301" t="s">
        <v>470</v>
      </c>
      <c r="NRR335" s="301" t="s">
        <v>470</v>
      </c>
      <c r="NRS335" s="301" t="s">
        <v>470</v>
      </c>
      <c r="NRT335" s="301" t="s">
        <v>470</v>
      </c>
      <c r="NRU335" s="301" t="s">
        <v>470</v>
      </c>
      <c r="NRV335" s="301" t="s">
        <v>470</v>
      </c>
      <c r="NRW335" s="301" t="s">
        <v>470</v>
      </c>
      <c r="NRX335" s="301" t="s">
        <v>470</v>
      </c>
      <c r="NRY335" s="301" t="s">
        <v>470</v>
      </c>
      <c r="NRZ335" s="301" t="s">
        <v>470</v>
      </c>
      <c r="NSA335" s="301" t="s">
        <v>470</v>
      </c>
      <c r="NSB335" s="301" t="s">
        <v>470</v>
      </c>
      <c r="NSC335" s="301" t="s">
        <v>470</v>
      </c>
      <c r="NSD335" s="301" t="s">
        <v>470</v>
      </c>
      <c r="NSE335" s="301" t="s">
        <v>470</v>
      </c>
      <c r="NSF335" s="301" t="s">
        <v>470</v>
      </c>
      <c r="NSG335" s="301" t="s">
        <v>470</v>
      </c>
      <c r="NSH335" s="301" t="s">
        <v>470</v>
      </c>
      <c r="NSI335" s="301" t="s">
        <v>470</v>
      </c>
      <c r="NSJ335" s="301" t="s">
        <v>470</v>
      </c>
      <c r="NSK335" s="301" t="s">
        <v>470</v>
      </c>
      <c r="NSL335" s="301" t="s">
        <v>470</v>
      </c>
      <c r="NSM335" s="301" t="s">
        <v>470</v>
      </c>
      <c r="NSN335" s="301" t="s">
        <v>470</v>
      </c>
      <c r="NSO335" s="301" t="s">
        <v>470</v>
      </c>
      <c r="NSP335" s="301" t="s">
        <v>470</v>
      </c>
      <c r="NSQ335" s="301" t="s">
        <v>470</v>
      </c>
      <c r="NSR335" s="301" t="s">
        <v>470</v>
      </c>
      <c r="NSS335" s="301" t="s">
        <v>470</v>
      </c>
      <c r="NST335" s="301" t="s">
        <v>470</v>
      </c>
      <c r="NSU335" s="301" t="s">
        <v>470</v>
      </c>
      <c r="NSV335" s="301" t="s">
        <v>470</v>
      </c>
      <c r="NSW335" s="301" t="s">
        <v>470</v>
      </c>
      <c r="NSX335" s="301" t="s">
        <v>470</v>
      </c>
      <c r="NSY335" s="301" t="s">
        <v>470</v>
      </c>
      <c r="NSZ335" s="301" t="s">
        <v>470</v>
      </c>
      <c r="NTA335" s="301" t="s">
        <v>470</v>
      </c>
      <c r="NTB335" s="301" t="s">
        <v>470</v>
      </c>
      <c r="NTC335" s="301" t="s">
        <v>470</v>
      </c>
      <c r="NTD335" s="301" t="s">
        <v>470</v>
      </c>
      <c r="NTE335" s="301" t="s">
        <v>470</v>
      </c>
      <c r="NTF335" s="301" t="s">
        <v>470</v>
      </c>
      <c r="NTG335" s="301" t="s">
        <v>470</v>
      </c>
      <c r="NTH335" s="301" t="s">
        <v>470</v>
      </c>
      <c r="NTI335" s="301" t="s">
        <v>470</v>
      </c>
      <c r="NTJ335" s="301" t="s">
        <v>470</v>
      </c>
      <c r="NTK335" s="301" t="s">
        <v>470</v>
      </c>
      <c r="NTL335" s="301" t="s">
        <v>470</v>
      </c>
      <c r="NTM335" s="301" t="s">
        <v>470</v>
      </c>
      <c r="NTN335" s="301" t="s">
        <v>470</v>
      </c>
      <c r="NTO335" s="301" t="s">
        <v>470</v>
      </c>
      <c r="NTP335" s="301" t="s">
        <v>470</v>
      </c>
      <c r="NTQ335" s="301" t="s">
        <v>470</v>
      </c>
      <c r="NTR335" s="301" t="s">
        <v>470</v>
      </c>
      <c r="NTS335" s="301" t="s">
        <v>470</v>
      </c>
      <c r="NTT335" s="301" t="s">
        <v>470</v>
      </c>
      <c r="NTU335" s="301" t="s">
        <v>470</v>
      </c>
      <c r="NTV335" s="301" t="s">
        <v>470</v>
      </c>
      <c r="NTW335" s="301" t="s">
        <v>470</v>
      </c>
      <c r="NTX335" s="301" t="s">
        <v>470</v>
      </c>
      <c r="NTY335" s="301" t="s">
        <v>470</v>
      </c>
      <c r="NTZ335" s="301" t="s">
        <v>470</v>
      </c>
      <c r="NUA335" s="301" t="s">
        <v>470</v>
      </c>
      <c r="NUB335" s="301" t="s">
        <v>470</v>
      </c>
      <c r="NUC335" s="301" t="s">
        <v>470</v>
      </c>
      <c r="NUD335" s="301" t="s">
        <v>470</v>
      </c>
      <c r="NUE335" s="301" t="s">
        <v>470</v>
      </c>
      <c r="NUF335" s="301" t="s">
        <v>470</v>
      </c>
      <c r="NUG335" s="301" t="s">
        <v>470</v>
      </c>
      <c r="NUH335" s="301" t="s">
        <v>470</v>
      </c>
      <c r="NUI335" s="301" t="s">
        <v>470</v>
      </c>
      <c r="NUJ335" s="301" t="s">
        <v>470</v>
      </c>
      <c r="NUK335" s="301" t="s">
        <v>470</v>
      </c>
      <c r="NUL335" s="301" t="s">
        <v>470</v>
      </c>
      <c r="NUM335" s="301" t="s">
        <v>470</v>
      </c>
      <c r="NUN335" s="301" t="s">
        <v>470</v>
      </c>
      <c r="NUO335" s="301" t="s">
        <v>470</v>
      </c>
      <c r="NUP335" s="301" t="s">
        <v>470</v>
      </c>
      <c r="NUQ335" s="301" t="s">
        <v>470</v>
      </c>
      <c r="NUR335" s="301" t="s">
        <v>470</v>
      </c>
      <c r="NUS335" s="301" t="s">
        <v>470</v>
      </c>
      <c r="NUT335" s="301" t="s">
        <v>470</v>
      </c>
      <c r="NUU335" s="301" t="s">
        <v>470</v>
      </c>
      <c r="NUV335" s="301" t="s">
        <v>470</v>
      </c>
      <c r="NUW335" s="301" t="s">
        <v>470</v>
      </c>
      <c r="NUX335" s="301" t="s">
        <v>470</v>
      </c>
      <c r="NUY335" s="301" t="s">
        <v>470</v>
      </c>
      <c r="NUZ335" s="301" t="s">
        <v>470</v>
      </c>
      <c r="NVA335" s="301" t="s">
        <v>470</v>
      </c>
      <c r="NVB335" s="301" t="s">
        <v>470</v>
      </c>
      <c r="NVC335" s="301" t="s">
        <v>470</v>
      </c>
      <c r="NVD335" s="301" t="s">
        <v>470</v>
      </c>
      <c r="NVE335" s="301" t="s">
        <v>470</v>
      </c>
      <c r="NVF335" s="301" t="s">
        <v>470</v>
      </c>
      <c r="NVG335" s="301" t="s">
        <v>470</v>
      </c>
      <c r="NVH335" s="301" t="s">
        <v>470</v>
      </c>
      <c r="NVI335" s="301" t="s">
        <v>470</v>
      </c>
      <c r="NVJ335" s="301" t="s">
        <v>470</v>
      </c>
      <c r="NVK335" s="301" t="s">
        <v>470</v>
      </c>
      <c r="NVL335" s="301" t="s">
        <v>470</v>
      </c>
      <c r="NVM335" s="301" t="s">
        <v>470</v>
      </c>
      <c r="NVN335" s="301" t="s">
        <v>470</v>
      </c>
      <c r="NVO335" s="301" t="s">
        <v>470</v>
      </c>
      <c r="NVP335" s="301" t="s">
        <v>470</v>
      </c>
      <c r="NVQ335" s="301" t="s">
        <v>470</v>
      </c>
      <c r="NVR335" s="301" t="s">
        <v>470</v>
      </c>
      <c r="NVS335" s="301" t="s">
        <v>470</v>
      </c>
      <c r="NVT335" s="301" t="s">
        <v>470</v>
      </c>
      <c r="NVU335" s="301" t="s">
        <v>470</v>
      </c>
      <c r="NVV335" s="301" t="s">
        <v>470</v>
      </c>
      <c r="NVW335" s="301" t="s">
        <v>470</v>
      </c>
      <c r="NVX335" s="301" t="s">
        <v>470</v>
      </c>
      <c r="NVY335" s="301" t="s">
        <v>470</v>
      </c>
      <c r="NVZ335" s="301" t="s">
        <v>470</v>
      </c>
      <c r="NWA335" s="301" t="s">
        <v>470</v>
      </c>
      <c r="NWB335" s="301" t="s">
        <v>470</v>
      </c>
      <c r="NWC335" s="301" t="s">
        <v>470</v>
      </c>
      <c r="NWD335" s="301" t="s">
        <v>470</v>
      </c>
      <c r="NWE335" s="301" t="s">
        <v>470</v>
      </c>
      <c r="NWF335" s="301" t="s">
        <v>470</v>
      </c>
      <c r="NWG335" s="301" t="s">
        <v>470</v>
      </c>
      <c r="NWH335" s="301" t="s">
        <v>470</v>
      </c>
      <c r="NWI335" s="301" t="s">
        <v>470</v>
      </c>
      <c r="NWJ335" s="301" t="s">
        <v>470</v>
      </c>
      <c r="NWK335" s="301" t="s">
        <v>470</v>
      </c>
      <c r="NWL335" s="301" t="s">
        <v>470</v>
      </c>
      <c r="NWM335" s="301" t="s">
        <v>470</v>
      </c>
      <c r="NWN335" s="301" t="s">
        <v>470</v>
      </c>
      <c r="NWO335" s="301" t="s">
        <v>470</v>
      </c>
      <c r="NWP335" s="301" t="s">
        <v>470</v>
      </c>
      <c r="NWQ335" s="301" t="s">
        <v>470</v>
      </c>
      <c r="NWR335" s="301" t="s">
        <v>470</v>
      </c>
      <c r="NWS335" s="301" t="s">
        <v>470</v>
      </c>
      <c r="NWT335" s="301" t="s">
        <v>470</v>
      </c>
      <c r="NWU335" s="301" t="s">
        <v>470</v>
      </c>
      <c r="NWV335" s="301" t="s">
        <v>470</v>
      </c>
      <c r="NWW335" s="301" t="s">
        <v>470</v>
      </c>
      <c r="NWX335" s="301" t="s">
        <v>470</v>
      </c>
      <c r="NWY335" s="301" t="s">
        <v>470</v>
      </c>
      <c r="NWZ335" s="301" t="s">
        <v>470</v>
      </c>
      <c r="NXA335" s="301" t="s">
        <v>470</v>
      </c>
      <c r="NXB335" s="301" t="s">
        <v>470</v>
      </c>
      <c r="NXC335" s="301" t="s">
        <v>470</v>
      </c>
      <c r="NXD335" s="301" t="s">
        <v>470</v>
      </c>
      <c r="NXE335" s="301" t="s">
        <v>470</v>
      </c>
      <c r="NXF335" s="301" t="s">
        <v>470</v>
      </c>
      <c r="NXG335" s="301" t="s">
        <v>470</v>
      </c>
      <c r="NXH335" s="301" t="s">
        <v>470</v>
      </c>
      <c r="NXI335" s="301" t="s">
        <v>470</v>
      </c>
      <c r="NXJ335" s="301" t="s">
        <v>470</v>
      </c>
      <c r="NXK335" s="301" t="s">
        <v>470</v>
      </c>
      <c r="NXL335" s="301" t="s">
        <v>470</v>
      </c>
      <c r="NXM335" s="301" t="s">
        <v>470</v>
      </c>
      <c r="NXN335" s="301" t="s">
        <v>470</v>
      </c>
      <c r="NXO335" s="301" t="s">
        <v>470</v>
      </c>
      <c r="NXP335" s="301" t="s">
        <v>470</v>
      </c>
      <c r="NXQ335" s="301" t="s">
        <v>470</v>
      </c>
      <c r="NXR335" s="301" t="s">
        <v>470</v>
      </c>
      <c r="NXS335" s="301" t="s">
        <v>470</v>
      </c>
      <c r="NXT335" s="301" t="s">
        <v>470</v>
      </c>
      <c r="NXU335" s="301" t="s">
        <v>470</v>
      </c>
      <c r="NXV335" s="301" t="s">
        <v>470</v>
      </c>
      <c r="NXW335" s="301" t="s">
        <v>470</v>
      </c>
      <c r="NXX335" s="301" t="s">
        <v>470</v>
      </c>
      <c r="NXY335" s="301" t="s">
        <v>470</v>
      </c>
      <c r="NXZ335" s="301" t="s">
        <v>470</v>
      </c>
      <c r="NYA335" s="301" t="s">
        <v>470</v>
      </c>
      <c r="NYB335" s="301" t="s">
        <v>470</v>
      </c>
      <c r="NYC335" s="301" t="s">
        <v>470</v>
      </c>
      <c r="NYD335" s="301" t="s">
        <v>470</v>
      </c>
      <c r="NYE335" s="301" t="s">
        <v>470</v>
      </c>
      <c r="NYF335" s="301" t="s">
        <v>470</v>
      </c>
      <c r="NYG335" s="301" t="s">
        <v>470</v>
      </c>
      <c r="NYH335" s="301" t="s">
        <v>470</v>
      </c>
      <c r="NYI335" s="301" t="s">
        <v>470</v>
      </c>
      <c r="NYJ335" s="301" t="s">
        <v>470</v>
      </c>
      <c r="NYK335" s="301" t="s">
        <v>470</v>
      </c>
      <c r="NYL335" s="301" t="s">
        <v>470</v>
      </c>
      <c r="NYM335" s="301" t="s">
        <v>470</v>
      </c>
      <c r="NYN335" s="301" t="s">
        <v>470</v>
      </c>
      <c r="NYO335" s="301" t="s">
        <v>470</v>
      </c>
      <c r="NYP335" s="301" t="s">
        <v>470</v>
      </c>
      <c r="NYQ335" s="301" t="s">
        <v>470</v>
      </c>
      <c r="NYR335" s="301" t="s">
        <v>470</v>
      </c>
      <c r="NYS335" s="301" t="s">
        <v>470</v>
      </c>
      <c r="NYT335" s="301" t="s">
        <v>470</v>
      </c>
      <c r="NYU335" s="301" t="s">
        <v>470</v>
      </c>
      <c r="NYV335" s="301" t="s">
        <v>470</v>
      </c>
      <c r="NYW335" s="301" t="s">
        <v>470</v>
      </c>
      <c r="NYX335" s="301" t="s">
        <v>470</v>
      </c>
      <c r="NYY335" s="301" t="s">
        <v>470</v>
      </c>
      <c r="NYZ335" s="301" t="s">
        <v>470</v>
      </c>
      <c r="NZA335" s="301" t="s">
        <v>470</v>
      </c>
      <c r="NZB335" s="301" t="s">
        <v>470</v>
      </c>
      <c r="NZC335" s="301" t="s">
        <v>470</v>
      </c>
      <c r="NZD335" s="301" t="s">
        <v>470</v>
      </c>
      <c r="NZE335" s="301" t="s">
        <v>470</v>
      </c>
      <c r="NZF335" s="301" t="s">
        <v>470</v>
      </c>
      <c r="NZG335" s="301" t="s">
        <v>470</v>
      </c>
      <c r="NZH335" s="301" t="s">
        <v>470</v>
      </c>
      <c r="NZI335" s="301" t="s">
        <v>470</v>
      </c>
      <c r="NZJ335" s="301" t="s">
        <v>470</v>
      </c>
      <c r="NZK335" s="301" t="s">
        <v>470</v>
      </c>
      <c r="NZL335" s="301" t="s">
        <v>470</v>
      </c>
      <c r="NZM335" s="301" t="s">
        <v>470</v>
      </c>
      <c r="NZN335" s="301" t="s">
        <v>470</v>
      </c>
      <c r="NZO335" s="301" t="s">
        <v>470</v>
      </c>
      <c r="NZP335" s="301" t="s">
        <v>470</v>
      </c>
      <c r="NZQ335" s="301" t="s">
        <v>470</v>
      </c>
      <c r="NZR335" s="301" t="s">
        <v>470</v>
      </c>
      <c r="NZS335" s="301" t="s">
        <v>470</v>
      </c>
      <c r="NZT335" s="301" t="s">
        <v>470</v>
      </c>
      <c r="NZU335" s="301" t="s">
        <v>470</v>
      </c>
      <c r="NZV335" s="301" t="s">
        <v>470</v>
      </c>
      <c r="NZW335" s="301" t="s">
        <v>470</v>
      </c>
      <c r="NZX335" s="301" t="s">
        <v>470</v>
      </c>
      <c r="NZY335" s="301" t="s">
        <v>470</v>
      </c>
      <c r="NZZ335" s="301" t="s">
        <v>470</v>
      </c>
      <c r="OAA335" s="301" t="s">
        <v>470</v>
      </c>
      <c r="OAB335" s="301" t="s">
        <v>470</v>
      </c>
      <c r="OAC335" s="301" t="s">
        <v>470</v>
      </c>
      <c r="OAD335" s="301" t="s">
        <v>470</v>
      </c>
      <c r="OAE335" s="301" t="s">
        <v>470</v>
      </c>
      <c r="OAF335" s="301" t="s">
        <v>470</v>
      </c>
      <c r="OAG335" s="301" t="s">
        <v>470</v>
      </c>
      <c r="OAH335" s="301" t="s">
        <v>470</v>
      </c>
      <c r="OAI335" s="301" t="s">
        <v>470</v>
      </c>
      <c r="OAJ335" s="301" t="s">
        <v>470</v>
      </c>
      <c r="OAK335" s="301" t="s">
        <v>470</v>
      </c>
      <c r="OAL335" s="301" t="s">
        <v>470</v>
      </c>
      <c r="OAM335" s="301" t="s">
        <v>470</v>
      </c>
      <c r="OAN335" s="301" t="s">
        <v>470</v>
      </c>
      <c r="OAO335" s="301" t="s">
        <v>470</v>
      </c>
      <c r="OAP335" s="301" t="s">
        <v>470</v>
      </c>
      <c r="OAQ335" s="301" t="s">
        <v>470</v>
      </c>
      <c r="OAR335" s="301" t="s">
        <v>470</v>
      </c>
      <c r="OAS335" s="301" t="s">
        <v>470</v>
      </c>
      <c r="OAT335" s="301" t="s">
        <v>470</v>
      </c>
      <c r="OAU335" s="301" t="s">
        <v>470</v>
      </c>
      <c r="OAV335" s="301" t="s">
        <v>470</v>
      </c>
      <c r="OAW335" s="301" t="s">
        <v>470</v>
      </c>
      <c r="OAX335" s="301" t="s">
        <v>470</v>
      </c>
      <c r="OAY335" s="301" t="s">
        <v>470</v>
      </c>
      <c r="OAZ335" s="301" t="s">
        <v>470</v>
      </c>
      <c r="OBA335" s="301" t="s">
        <v>470</v>
      </c>
      <c r="OBB335" s="301" t="s">
        <v>470</v>
      </c>
      <c r="OBC335" s="301" t="s">
        <v>470</v>
      </c>
      <c r="OBD335" s="301" t="s">
        <v>470</v>
      </c>
      <c r="OBE335" s="301" t="s">
        <v>470</v>
      </c>
      <c r="OBF335" s="301" t="s">
        <v>470</v>
      </c>
      <c r="OBG335" s="301" t="s">
        <v>470</v>
      </c>
      <c r="OBH335" s="301" t="s">
        <v>470</v>
      </c>
      <c r="OBI335" s="301" t="s">
        <v>470</v>
      </c>
      <c r="OBJ335" s="301" t="s">
        <v>470</v>
      </c>
      <c r="OBK335" s="301" t="s">
        <v>470</v>
      </c>
      <c r="OBL335" s="301" t="s">
        <v>470</v>
      </c>
      <c r="OBM335" s="301" t="s">
        <v>470</v>
      </c>
      <c r="OBN335" s="301" t="s">
        <v>470</v>
      </c>
      <c r="OBO335" s="301" t="s">
        <v>470</v>
      </c>
      <c r="OBP335" s="301" t="s">
        <v>470</v>
      </c>
      <c r="OBQ335" s="301" t="s">
        <v>470</v>
      </c>
      <c r="OBR335" s="301" t="s">
        <v>470</v>
      </c>
      <c r="OBS335" s="301" t="s">
        <v>470</v>
      </c>
      <c r="OBT335" s="301" t="s">
        <v>470</v>
      </c>
      <c r="OBU335" s="301" t="s">
        <v>470</v>
      </c>
      <c r="OBV335" s="301" t="s">
        <v>470</v>
      </c>
      <c r="OBW335" s="301" t="s">
        <v>470</v>
      </c>
      <c r="OBX335" s="301" t="s">
        <v>470</v>
      </c>
      <c r="OBY335" s="301" t="s">
        <v>470</v>
      </c>
      <c r="OBZ335" s="301" t="s">
        <v>470</v>
      </c>
      <c r="OCA335" s="301" t="s">
        <v>470</v>
      </c>
      <c r="OCB335" s="301" t="s">
        <v>470</v>
      </c>
      <c r="OCC335" s="301" t="s">
        <v>470</v>
      </c>
      <c r="OCD335" s="301" t="s">
        <v>470</v>
      </c>
      <c r="OCE335" s="301" t="s">
        <v>470</v>
      </c>
      <c r="OCF335" s="301" t="s">
        <v>470</v>
      </c>
      <c r="OCG335" s="301" t="s">
        <v>470</v>
      </c>
      <c r="OCH335" s="301" t="s">
        <v>470</v>
      </c>
      <c r="OCI335" s="301" t="s">
        <v>470</v>
      </c>
      <c r="OCJ335" s="301" t="s">
        <v>470</v>
      </c>
      <c r="OCK335" s="301" t="s">
        <v>470</v>
      </c>
      <c r="OCL335" s="301" t="s">
        <v>470</v>
      </c>
      <c r="OCM335" s="301" t="s">
        <v>470</v>
      </c>
      <c r="OCN335" s="301" t="s">
        <v>470</v>
      </c>
      <c r="OCO335" s="301" t="s">
        <v>470</v>
      </c>
      <c r="OCP335" s="301" t="s">
        <v>470</v>
      </c>
      <c r="OCQ335" s="301" t="s">
        <v>470</v>
      </c>
      <c r="OCR335" s="301" t="s">
        <v>470</v>
      </c>
      <c r="OCS335" s="301" t="s">
        <v>470</v>
      </c>
      <c r="OCT335" s="301" t="s">
        <v>470</v>
      </c>
      <c r="OCU335" s="301" t="s">
        <v>470</v>
      </c>
      <c r="OCV335" s="301" t="s">
        <v>470</v>
      </c>
      <c r="OCW335" s="301" t="s">
        <v>470</v>
      </c>
      <c r="OCX335" s="301" t="s">
        <v>470</v>
      </c>
      <c r="OCY335" s="301" t="s">
        <v>470</v>
      </c>
      <c r="OCZ335" s="301" t="s">
        <v>470</v>
      </c>
      <c r="ODA335" s="301" t="s">
        <v>470</v>
      </c>
      <c r="ODB335" s="301" t="s">
        <v>470</v>
      </c>
      <c r="ODC335" s="301" t="s">
        <v>470</v>
      </c>
      <c r="ODD335" s="301" t="s">
        <v>470</v>
      </c>
      <c r="ODE335" s="301" t="s">
        <v>470</v>
      </c>
      <c r="ODF335" s="301" t="s">
        <v>470</v>
      </c>
      <c r="ODG335" s="301" t="s">
        <v>470</v>
      </c>
      <c r="ODH335" s="301" t="s">
        <v>470</v>
      </c>
      <c r="ODI335" s="301" t="s">
        <v>470</v>
      </c>
      <c r="ODJ335" s="301" t="s">
        <v>470</v>
      </c>
      <c r="ODK335" s="301" t="s">
        <v>470</v>
      </c>
      <c r="ODL335" s="301" t="s">
        <v>470</v>
      </c>
      <c r="ODM335" s="301" t="s">
        <v>470</v>
      </c>
      <c r="ODN335" s="301" t="s">
        <v>470</v>
      </c>
      <c r="ODO335" s="301" t="s">
        <v>470</v>
      </c>
      <c r="ODP335" s="301" t="s">
        <v>470</v>
      </c>
      <c r="ODQ335" s="301" t="s">
        <v>470</v>
      </c>
      <c r="ODR335" s="301" t="s">
        <v>470</v>
      </c>
      <c r="ODS335" s="301" t="s">
        <v>470</v>
      </c>
      <c r="ODT335" s="301" t="s">
        <v>470</v>
      </c>
      <c r="ODU335" s="301" t="s">
        <v>470</v>
      </c>
      <c r="ODV335" s="301" t="s">
        <v>470</v>
      </c>
      <c r="ODW335" s="301" t="s">
        <v>470</v>
      </c>
      <c r="ODX335" s="301" t="s">
        <v>470</v>
      </c>
      <c r="ODY335" s="301" t="s">
        <v>470</v>
      </c>
      <c r="ODZ335" s="301" t="s">
        <v>470</v>
      </c>
      <c r="OEA335" s="301" t="s">
        <v>470</v>
      </c>
      <c r="OEB335" s="301" t="s">
        <v>470</v>
      </c>
      <c r="OEC335" s="301" t="s">
        <v>470</v>
      </c>
      <c r="OED335" s="301" t="s">
        <v>470</v>
      </c>
      <c r="OEE335" s="301" t="s">
        <v>470</v>
      </c>
      <c r="OEF335" s="301" t="s">
        <v>470</v>
      </c>
      <c r="OEG335" s="301" t="s">
        <v>470</v>
      </c>
      <c r="OEH335" s="301" t="s">
        <v>470</v>
      </c>
      <c r="OEI335" s="301" t="s">
        <v>470</v>
      </c>
      <c r="OEJ335" s="301" t="s">
        <v>470</v>
      </c>
      <c r="OEK335" s="301" t="s">
        <v>470</v>
      </c>
      <c r="OEL335" s="301" t="s">
        <v>470</v>
      </c>
      <c r="OEM335" s="301" t="s">
        <v>470</v>
      </c>
      <c r="OEN335" s="301" t="s">
        <v>470</v>
      </c>
      <c r="OEO335" s="301" t="s">
        <v>470</v>
      </c>
      <c r="OEP335" s="301" t="s">
        <v>470</v>
      </c>
      <c r="OEQ335" s="301" t="s">
        <v>470</v>
      </c>
      <c r="OER335" s="301" t="s">
        <v>470</v>
      </c>
      <c r="OES335" s="301" t="s">
        <v>470</v>
      </c>
      <c r="OET335" s="301" t="s">
        <v>470</v>
      </c>
      <c r="OEU335" s="301" t="s">
        <v>470</v>
      </c>
      <c r="OEV335" s="301" t="s">
        <v>470</v>
      </c>
      <c r="OEW335" s="301" t="s">
        <v>470</v>
      </c>
      <c r="OEX335" s="301" t="s">
        <v>470</v>
      </c>
      <c r="OEY335" s="301" t="s">
        <v>470</v>
      </c>
      <c r="OEZ335" s="301" t="s">
        <v>470</v>
      </c>
      <c r="OFA335" s="301" t="s">
        <v>470</v>
      </c>
      <c r="OFB335" s="301" t="s">
        <v>470</v>
      </c>
      <c r="OFC335" s="301" t="s">
        <v>470</v>
      </c>
      <c r="OFD335" s="301" t="s">
        <v>470</v>
      </c>
      <c r="OFE335" s="301" t="s">
        <v>470</v>
      </c>
      <c r="OFF335" s="301" t="s">
        <v>470</v>
      </c>
      <c r="OFG335" s="301" t="s">
        <v>470</v>
      </c>
      <c r="OFH335" s="301" t="s">
        <v>470</v>
      </c>
      <c r="OFI335" s="301" t="s">
        <v>470</v>
      </c>
      <c r="OFJ335" s="301" t="s">
        <v>470</v>
      </c>
      <c r="OFK335" s="301" t="s">
        <v>470</v>
      </c>
      <c r="OFL335" s="301" t="s">
        <v>470</v>
      </c>
      <c r="OFM335" s="301" t="s">
        <v>470</v>
      </c>
      <c r="OFN335" s="301" t="s">
        <v>470</v>
      </c>
      <c r="OFO335" s="301" t="s">
        <v>470</v>
      </c>
      <c r="OFP335" s="301" t="s">
        <v>470</v>
      </c>
      <c r="OFQ335" s="301" t="s">
        <v>470</v>
      </c>
      <c r="OFR335" s="301" t="s">
        <v>470</v>
      </c>
      <c r="OFS335" s="301" t="s">
        <v>470</v>
      </c>
      <c r="OFT335" s="301" t="s">
        <v>470</v>
      </c>
      <c r="OFU335" s="301" t="s">
        <v>470</v>
      </c>
      <c r="OFV335" s="301" t="s">
        <v>470</v>
      </c>
      <c r="OFW335" s="301" t="s">
        <v>470</v>
      </c>
      <c r="OFX335" s="301" t="s">
        <v>470</v>
      </c>
      <c r="OFY335" s="301" t="s">
        <v>470</v>
      </c>
      <c r="OFZ335" s="301" t="s">
        <v>470</v>
      </c>
      <c r="OGA335" s="301" t="s">
        <v>470</v>
      </c>
      <c r="OGB335" s="301" t="s">
        <v>470</v>
      </c>
      <c r="OGC335" s="301" t="s">
        <v>470</v>
      </c>
      <c r="OGD335" s="301" t="s">
        <v>470</v>
      </c>
      <c r="OGE335" s="301" t="s">
        <v>470</v>
      </c>
      <c r="OGF335" s="301" t="s">
        <v>470</v>
      </c>
      <c r="OGG335" s="301" t="s">
        <v>470</v>
      </c>
      <c r="OGH335" s="301" t="s">
        <v>470</v>
      </c>
      <c r="OGI335" s="301" t="s">
        <v>470</v>
      </c>
      <c r="OGJ335" s="301" t="s">
        <v>470</v>
      </c>
      <c r="OGK335" s="301" t="s">
        <v>470</v>
      </c>
      <c r="OGL335" s="301" t="s">
        <v>470</v>
      </c>
      <c r="OGM335" s="301" t="s">
        <v>470</v>
      </c>
      <c r="OGN335" s="301" t="s">
        <v>470</v>
      </c>
      <c r="OGO335" s="301" t="s">
        <v>470</v>
      </c>
      <c r="OGP335" s="301" t="s">
        <v>470</v>
      </c>
      <c r="OGQ335" s="301" t="s">
        <v>470</v>
      </c>
      <c r="OGR335" s="301" t="s">
        <v>470</v>
      </c>
      <c r="OGS335" s="301" t="s">
        <v>470</v>
      </c>
      <c r="OGT335" s="301" t="s">
        <v>470</v>
      </c>
      <c r="OGU335" s="301" t="s">
        <v>470</v>
      </c>
      <c r="OGV335" s="301" t="s">
        <v>470</v>
      </c>
      <c r="OGW335" s="301" t="s">
        <v>470</v>
      </c>
      <c r="OGX335" s="301" t="s">
        <v>470</v>
      </c>
      <c r="OGY335" s="301" t="s">
        <v>470</v>
      </c>
      <c r="OGZ335" s="301" t="s">
        <v>470</v>
      </c>
      <c r="OHA335" s="301" t="s">
        <v>470</v>
      </c>
      <c r="OHB335" s="301" t="s">
        <v>470</v>
      </c>
      <c r="OHC335" s="301" t="s">
        <v>470</v>
      </c>
      <c r="OHD335" s="301" t="s">
        <v>470</v>
      </c>
      <c r="OHE335" s="301" t="s">
        <v>470</v>
      </c>
      <c r="OHF335" s="301" t="s">
        <v>470</v>
      </c>
      <c r="OHG335" s="301" t="s">
        <v>470</v>
      </c>
      <c r="OHH335" s="301" t="s">
        <v>470</v>
      </c>
      <c r="OHI335" s="301" t="s">
        <v>470</v>
      </c>
      <c r="OHJ335" s="301" t="s">
        <v>470</v>
      </c>
      <c r="OHK335" s="301" t="s">
        <v>470</v>
      </c>
      <c r="OHL335" s="301" t="s">
        <v>470</v>
      </c>
      <c r="OHM335" s="301" t="s">
        <v>470</v>
      </c>
      <c r="OHN335" s="301" t="s">
        <v>470</v>
      </c>
      <c r="OHO335" s="301" t="s">
        <v>470</v>
      </c>
      <c r="OHP335" s="301" t="s">
        <v>470</v>
      </c>
      <c r="OHQ335" s="301" t="s">
        <v>470</v>
      </c>
      <c r="OHR335" s="301" t="s">
        <v>470</v>
      </c>
      <c r="OHS335" s="301" t="s">
        <v>470</v>
      </c>
      <c r="OHT335" s="301" t="s">
        <v>470</v>
      </c>
      <c r="OHU335" s="301" t="s">
        <v>470</v>
      </c>
      <c r="OHV335" s="301" t="s">
        <v>470</v>
      </c>
      <c r="OHW335" s="301" t="s">
        <v>470</v>
      </c>
      <c r="OHX335" s="301" t="s">
        <v>470</v>
      </c>
      <c r="OHY335" s="301" t="s">
        <v>470</v>
      </c>
      <c r="OHZ335" s="301" t="s">
        <v>470</v>
      </c>
      <c r="OIA335" s="301" t="s">
        <v>470</v>
      </c>
      <c r="OIB335" s="301" t="s">
        <v>470</v>
      </c>
      <c r="OIC335" s="301" t="s">
        <v>470</v>
      </c>
      <c r="OID335" s="301" t="s">
        <v>470</v>
      </c>
      <c r="OIE335" s="301" t="s">
        <v>470</v>
      </c>
      <c r="OIF335" s="301" t="s">
        <v>470</v>
      </c>
      <c r="OIG335" s="301" t="s">
        <v>470</v>
      </c>
      <c r="OIH335" s="301" t="s">
        <v>470</v>
      </c>
      <c r="OII335" s="301" t="s">
        <v>470</v>
      </c>
      <c r="OIJ335" s="301" t="s">
        <v>470</v>
      </c>
      <c r="OIK335" s="301" t="s">
        <v>470</v>
      </c>
      <c r="OIL335" s="301" t="s">
        <v>470</v>
      </c>
      <c r="OIM335" s="301" t="s">
        <v>470</v>
      </c>
      <c r="OIN335" s="301" t="s">
        <v>470</v>
      </c>
      <c r="OIO335" s="301" t="s">
        <v>470</v>
      </c>
      <c r="OIP335" s="301" t="s">
        <v>470</v>
      </c>
      <c r="OIQ335" s="301" t="s">
        <v>470</v>
      </c>
      <c r="OIR335" s="301" t="s">
        <v>470</v>
      </c>
      <c r="OIS335" s="301" t="s">
        <v>470</v>
      </c>
      <c r="OIT335" s="301" t="s">
        <v>470</v>
      </c>
      <c r="OIU335" s="301" t="s">
        <v>470</v>
      </c>
      <c r="OIV335" s="301" t="s">
        <v>470</v>
      </c>
      <c r="OIW335" s="301" t="s">
        <v>470</v>
      </c>
      <c r="OIX335" s="301" t="s">
        <v>470</v>
      </c>
      <c r="OIY335" s="301" t="s">
        <v>470</v>
      </c>
      <c r="OIZ335" s="301" t="s">
        <v>470</v>
      </c>
      <c r="OJA335" s="301" t="s">
        <v>470</v>
      </c>
      <c r="OJB335" s="301" t="s">
        <v>470</v>
      </c>
      <c r="OJC335" s="301" t="s">
        <v>470</v>
      </c>
      <c r="OJD335" s="301" t="s">
        <v>470</v>
      </c>
      <c r="OJE335" s="301" t="s">
        <v>470</v>
      </c>
      <c r="OJF335" s="301" t="s">
        <v>470</v>
      </c>
      <c r="OJG335" s="301" t="s">
        <v>470</v>
      </c>
      <c r="OJH335" s="301" t="s">
        <v>470</v>
      </c>
      <c r="OJI335" s="301" t="s">
        <v>470</v>
      </c>
      <c r="OJJ335" s="301" t="s">
        <v>470</v>
      </c>
      <c r="OJK335" s="301" t="s">
        <v>470</v>
      </c>
      <c r="OJL335" s="301" t="s">
        <v>470</v>
      </c>
      <c r="OJM335" s="301" t="s">
        <v>470</v>
      </c>
      <c r="OJN335" s="301" t="s">
        <v>470</v>
      </c>
      <c r="OJO335" s="301" t="s">
        <v>470</v>
      </c>
      <c r="OJP335" s="301" t="s">
        <v>470</v>
      </c>
      <c r="OJQ335" s="301" t="s">
        <v>470</v>
      </c>
      <c r="OJR335" s="301" t="s">
        <v>470</v>
      </c>
      <c r="OJS335" s="301" t="s">
        <v>470</v>
      </c>
      <c r="OJT335" s="301" t="s">
        <v>470</v>
      </c>
      <c r="OJU335" s="301" t="s">
        <v>470</v>
      </c>
      <c r="OJV335" s="301" t="s">
        <v>470</v>
      </c>
      <c r="OJW335" s="301" t="s">
        <v>470</v>
      </c>
      <c r="OJX335" s="301" t="s">
        <v>470</v>
      </c>
      <c r="OJY335" s="301" t="s">
        <v>470</v>
      </c>
      <c r="OJZ335" s="301" t="s">
        <v>470</v>
      </c>
      <c r="OKA335" s="301" t="s">
        <v>470</v>
      </c>
      <c r="OKB335" s="301" t="s">
        <v>470</v>
      </c>
      <c r="OKC335" s="301" t="s">
        <v>470</v>
      </c>
      <c r="OKD335" s="301" t="s">
        <v>470</v>
      </c>
      <c r="OKE335" s="301" t="s">
        <v>470</v>
      </c>
      <c r="OKF335" s="301" t="s">
        <v>470</v>
      </c>
      <c r="OKG335" s="301" t="s">
        <v>470</v>
      </c>
      <c r="OKH335" s="301" t="s">
        <v>470</v>
      </c>
      <c r="OKI335" s="301" t="s">
        <v>470</v>
      </c>
      <c r="OKJ335" s="301" t="s">
        <v>470</v>
      </c>
      <c r="OKK335" s="301" t="s">
        <v>470</v>
      </c>
      <c r="OKL335" s="301" t="s">
        <v>470</v>
      </c>
      <c r="OKM335" s="301" t="s">
        <v>470</v>
      </c>
      <c r="OKN335" s="301" t="s">
        <v>470</v>
      </c>
      <c r="OKO335" s="301" t="s">
        <v>470</v>
      </c>
      <c r="OKP335" s="301" t="s">
        <v>470</v>
      </c>
      <c r="OKQ335" s="301" t="s">
        <v>470</v>
      </c>
      <c r="OKR335" s="301" t="s">
        <v>470</v>
      </c>
      <c r="OKS335" s="301" t="s">
        <v>470</v>
      </c>
      <c r="OKT335" s="301" t="s">
        <v>470</v>
      </c>
      <c r="OKU335" s="301" t="s">
        <v>470</v>
      </c>
      <c r="OKV335" s="301" t="s">
        <v>470</v>
      </c>
      <c r="OKW335" s="301" t="s">
        <v>470</v>
      </c>
      <c r="OKX335" s="301" t="s">
        <v>470</v>
      </c>
      <c r="OKY335" s="301" t="s">
        <v>470</v>
      </c>
      <c r="OKZ335" s="301" t="s">
        <v>470</v>
      </c>
      <c r="OLA335" s="301" t="s">
        <v>470</v>
      </c>
      <c r="OLB335" s="301" t="s">
        <v>470</v>
      </c>
      <c r="OLC335" s="301" t="s">
        <v>470</v>
      </c>
      <c r="OLD335" s="301" t="s">
        <v>470</v>
      </c>
      <c r="OLE335" s="301" t="s">
        <v>470</v>
      </c>
      <c r="OLF335" s="301" t="s">
        <v>470</v>
      </c>
      <c r="OLG335" s="301" t="s">
        <v>470</v>
      </c>
      <c r="OLH335" s="301" t="s">
        <v>470</v>
      </c>
      <c r="OLI335" s="301" t="s">
        <v>470</v>
      </c>
      <c r="OLJ335" s="301" t="s">
        <v>470</v>
      </c>
      <c r="OLK335" s="301" t="s">
        <v>470</v>
      </c>
      <c r="OLL335" s="301" t="s">
        <v>470</v>
      </c>
      <c r="OLM335" s="301" t="s">
        <v>470</v>
      </c>
      <c r="OLN335" s="301" t="s">
        <v>470</v>
      </c>
      <c r="OLO335" s="301" t="s">
        <v>470</v>
      </c>
      <c r="OLP335" s="301" t="s">
        <v>470</v>
      </c>
      <c r="OLQ335" s="301" t="s">
        <v>470</v>
      </c>
      <c r="OLR335" s="301" t="s">
        <v>470</v>
      </c>
      <c r="OLS335" s="301" t="s">
        <v>470</v>
      </c>
      <c r="OLT335" s="301" t="s">
        <v>470</v>
      </c>
      <c r="OLU335" s="301" t="s">
        <v>470</v>
      </c>
      <c r="OLV335" s="301" t="s">
        <v>470</v>
      </c>
      <c r="OLW335" s="301" t="s">
        <v>470</v>
      </c>
      <c r="OLX335" s="301" t="s">
        <v>470</v>
      </c>
      <c r="OLY335" s="301" t="s">
        <v>470</v>
      </c>
      <c r="OLZ335" s="301" t="s">
        <v>470</v>
      </c>
      <c r="OMA335" s="301" t="s">
        <v>470</v>
      </c>
      <c r="OMB335" s="301" t="s">
        <v>470</v>
      </c>
      <c r="OMC335" s="301" t="s">
        <v>470</v>
      </c>
      <c r="OMD335" s="301" t="s">
        <v>470</v>
      </c>
      <c r="OME335" s="301" t="s">
        <v>470</v>
      </c>
      <c r="OMF335" s="301" t="s">
        <v>470</v>
      </c>
      <c r="OMG335" s="301" t="s">
        <v>470</v>
      </c>
      <c r="OMH335" s="301" t="s">
        <v>470</v>
      </c>
      <c r="OMI335" s="301" t="s">
        <v>470</v>
      </c>
      <c r="OMJ335" s="301" t="s">
        <v>470</v>
      </c>
      <c r="OMK335" s="301" t="s">
        <v>470</v>
      </c>
      <c r="OML335" s="301" t="s">
        <v>470</v>
      </c>
      <c r="OMM335" s="301" t="s">
        <v>470</v>
      </c>
      <c r="OMN335" s="301" t="s">
        <v>470</v>
      </c>
      <c r="OMO335" s="301" t="s">
        <v>470</v>
      </c>
      <c r="OMP335" s="301" t="s">
        <v>470</v>
      </c>
      <c r="OMQ335" s="301" t="s">
        <v>470</v>
      </c>
      <c r="OMR335" s="301" t="s">
        <v>470</v>
      </c>
      <c r="OMS335" s="301" t="s">
        <v>470</v>
      </c>
      <c r="OMT335" s="301" t="s">
        <v>470</v>
      </c>
      <c r="OMU335" s="301" t="s">
        <v>470</v>
      </c>
      <c r="OMV335" s="301" t="s">
        <v>470</v>
      </c>
      <c r="OMW335" s="301" t="s">
        <v>470</v>
      </c>
      <c r="OMX335" s="301" t="s">
        <v>470</v>
      </c>
      <c r="OMY335" s="301" t="s">
        <v>470</v>
      </c>
      <c r="OMZ335" s="301" t="s">
        <v>470</v>
      </c>
      <c r="ONA335" s="301" t="s">
        <v>470</v>
      </c>
      <c r="ONB335" s="301" t="s">
        <v>470</v>
      </c>
      <c r="ONC335" s="301" t="s">
        <v>470</v>
      </c>
      <c r="OND335" s="301" t="s">
        <v>470</v>
      </c>
      <c r="ONE335" s="301" t="s">
        <v>470</v>
      </c>
      <c r="ONF335" s="301" t="s">
        <v>470</v>
      </c>
      <c r="ONG335" s="301" t="s">
        <v>470</v>
      </c>
      <c r="ONH335" s="301" t="s">
        <v>470</v>
      </c>
      <c r="ONI335" s="301" t="s">
        <v>470</v>
      </c>
      <c r="ONJ335" s="301" t="s">
        <v>470</v>
      </c>
      <c r="ONK335" s="301" t="s">
        <v>470</v>
      </c>
      <c r="ONL335" s="301" t="s">
        <v>470</v>
      </c>
      <c r="ONM335" s="301" t="s">
        <v>470</v>
      </c>
      <c r="ONN335" s="301" t="s">
        <v>470</v>
      </c>
      <c r="ONO335" s="301" t="s">
        <v>470</v>
      </c>
      <c r="ONP335" s="301" t="s">
        <v>470</v>
      </c>
      <c r="ONQ335" s="301" t="s">
        <v>470</v>
      </c>
      <c r="ONR335" s="301" t="s">
        <v>470</v>
      </c>
      <c r="ONS335" s="301" t="s">
        <v>470</v>
      </c>
      <c r="ONT335" s="301" t="s">
        <v>470</v>
      </c>
      <c r="ONU335" s="301" t="s">
        <v>470</v>
      </c>
      <c r="ONV335" s="301" t="s">
        <v>470</v>
      </c>
      <c r="ONW335" s="301" t="s">
        <v>470</v>
      </c>
      <c r="ONX335" s="301" t="s">
        <v>470</v>
      </c>
      <c r="ONY335" s="301" t="s">
        <v>470</v>
      </c>
      <c r="ONZ335" s="301" t="s">
        <v>470</v>
      </c>
      <c r="OOA335" s="301" t="s">
        <v>470</v>
      </c>
      <c r="OOB335" s="301" t="s">
        <v>470</v>
      </c>
      <c r="OOC335" s="301" t="s">
        <v>470</v>
      </c>
      <c r="OOD335" s="301" t="s">
        <v>470</v>
      </c>
      <c r="OOE335" s="301" t="s">
        <v>470</v>
      </c>
      <c r="OOF335" s="301" t="s">
        <v>470</v>
      </c>
      <c r="OOG335" s="301" t="s">
        <v>470</v>
      </c>
      <c r="OOH335" s="301" t="s">
        <v>470</v>
      </c>
      <c r="OOI335" s="301" t="s">
        <v>470</v>
      </c>
      <c r="OOJ335" s="301" t="s">
        <v>470</v>
      </c>
      <c r="OOK335" s="301" t="s">
        <v>470</v>
      </c>
      <c r="OOL335" s="301" t="s">
        <v>470</v>
      </c>
      <c r="OOM335" s="301" t="s">
        <v>470</v>
      </c>
      <c r="OON335" s="301" t="s">
        <v>470</v>
      </c>
      <c r="OOO335" s="301" t="s">
        <v>470</v>
      </c>
      <c r="OOP335" s="301" t="s">
        <v>470</v>
      </c>
      <c r="OOQ335" s="301" t="s">
        <v>470</v>
      </c>
      <c r="OOR335" s="301" t="s">
        <v>470</v>
      </c>
      <c r="OOS335" s="301" t="s">
        <v>470</v>
      </c>
      <c r="OOT335" s="301" t="s">
        <v>470</v>
      </c>
      <c r="OOU335" s="301" t="s">
        <v>470</v>
      </c>
      <c r="OOV335" s="301" t="s">
        <v>470</v>
      </c>
      <c r="OOW335" s="301" t="s">
        <v>470</v>
      </c>
      <c r="OOX335" s="301" t="s">
        <v>470</v>
      </c>
      <c r="OOY335" s="301" t="s">
        <v>470</v>
      </c>
      <c r="OOZ335" s="301" t="s">
        <v>470</v>
      </c>
      <c r="OPA335" s="301" t="s">
        <v>470</v>
      </c>
      <c r="OPB335" s="301" t="s">
        <v>470</v>
      </c>
      <c r="OPC335" s="301" t="s">
        <v>470</v>
      </c>
      <c r="OPD335" s="301" t="s">
        <v>470</v>
      </c>
      <c r="OPE335" s="301" t="s">
        <v>470</v>
      </c>
      <c r="OPF335" s="301" t="s">
        <v>470</v>
      </c>
      <c r="OPG335" s="301" t="s">
        <v>470</v>
      </c>
      <c r="OPH335" s="301" t="s">
        <v>470</v>
      </c>
      <c r="OPI335" s="301" t="s">
        <v>470</v>
      </c>
      <c r="OPJ335" s="301" t="s">
        <v>470</v>
      </c>
      <c r="OPK335" s="301" t="s">
        <v>470</v>
      </c>
      <c r="OPL335" s="301" t="s">
        <v>470</v>
      </c>
      <c r="OPM335" s="301" t="s">
        <v>470</v>
      </c>
      <c r="OPN335" s="301" t="s">
        <v>470</v>
      </c>
      <c r="OPO335" s="301" t="s">
        <v>470</v>
      </c>
      <c r="OPP335" s="301" t="s">
        <v>470</v>
      </c>
      <c r="OPQ335" s="301" t="s">
        <v>470</v>
      </c>
      <c r="OPR335" s="301" t="s">
        <v>470</v>
      </c>
      <c r="OPS335" s="301" t="s">
        <v>470</v>
      </c>
      <c r="OPT335" s="301" t="s">
        <v>470</v>
      </c>
      <c r="OPU335" s="301" t="s">
        <v>470</v>
      </c>
      <c r="OPV335" s="301" t="s">
        <v>470</v>
      </c>
      <c r="OPW335" s="301" t="s">
        <v>470</v>
      </c>
      <c r="OPX335" s="301" t="s">
        <v>470</v>
      </c>
      <c r="OPY335" s="301" t="s">
        <v>470</v>
      </c>
      <c r="OPZ335" s="301" t="s">
        <v>470</v>
      </c>
      <c r="OQA335" s="301" t="s">
        <v>470</v>
      </c>
      <c r="OQB335" s="301" t="s">
        <v>470</v>
      </c>
      <c r="OQC335" s="301" t="s">
        <v>470</v>
      </c>
      <c r="OQD335" s="301" t="s">
        <v>470</v>
      </c>
      <c r="OQE335" s="301" t="s">
        <v>470</v>
      </c>
      <c r="OQF335" s="301" t="s">
        <v>470</v>
      </c>
      <c r="OQG335" s="301" t="s">
        <v>470</v>
      </c>
      <c r="OQH335" s="301" t="s">
        <v>470</v>
      </c>
      <c r="OQI335" s="301" t="s">
        <v>470</v>
      </c>
      <c r="OQJ335" s="301" t="s">
        <v>470</v>
      </c>
      <c r="OQK335" s="301" t="s">
        <v>470</v>
      </c>
      <c r="OQL335" s="301" t="s">
        <v>470</v>
      </c>
      <c r="OQM335" s="301" t="s">
        <v>470</v>
      </c>
      <c r="OQN335" s="301" t="s">
        <v>470</v>
      </c>
      <c r="OQO335" s="301" t="s">
        <v>470</v>
      </c>
      <c r="OQP335" s="301" t="s">
        <v>470</v>
      </c>
      <c r="OQQ335" s="301" t="s">
        <v>470</v>
      </c>
      <c r="OQR335" s="301" t="s">
        <v>470</v>
      </c>
      <c r="OQS335" s="301" t="s">
        <v>470</v>
      </c>
      <c r="OQT335" s="301" t="s">
        <v>470</v>
      </c>
      <c r="OQU335" s="301" t="s">
        <v>470</v>
      </c>
      <c r="OQV335" s="301" t="s">
        <v>470</v>
      </c>
      <c r="OQW335" s="301" t="s">
        <v>470</v>
      </c>
      <c r="OQX335" s="301" t="s">
        <v>470</v>
      </c>
      <c r="OQY335" s="301" t="s">
        <v>470</v>
      </c>
      <c r="OQZ335" s="301" t="s">
        <v>470</v>
      </c>
      <c r="ORA335" s="301" t="s">
        <v>470</v>
      </c>
      <c r="ORB335" s="301" t="s">
        <v>470</v>
      </c>
      <c r="ORC335" s="301" t="s">
        <v>470</v>
      </c>
      <c r="ORD335" s="301" t="s">
        <v>470</v>
      </c>
      <c r="ORE335" s="301" t="s">
        <v>470</v>
      </c>
      <c r="ORF335" s="301" t="s">
        <v>470</v>
      </c>
      <c r="ORG335" s="301" t="s">
        <v>470</v>
      </c>
      <c r="ORH335" s="301" t="s">
        <v>470</v>
      </c>
      <c r="ORI335" s="301" t="s">
        <v>470</v>
      </c>
      <c r="ORJ335" s="301" t="s">
        <v>470</v>
      </c>
      <c r="ORK335" s="301" t="s">
        <v>470</v>
      </c>
      <c r="ORL335" s="301" t="s">
        <v>470</v>
      </c>
      <c r="ORM335" s="301" t="s">
        <v>470</v>
      </c>
      <c r="ORN335" s="301" t="s">
        <v>470</v>
      </c>
      <c r="ORO335" s="301" t="s">
        <v>470</v>
      </c>
      <c r="ORP335" s="301" t="s">
        <v>470</v>
      </c>
      <c r="ORQ335" s="301" t="s">
        <v>470</v>
      </c>
      <c r="ORR335" s="301" t="s">
        <v>470</v>
      </c>
      <c r="ORS335" s="301" t="s">
        <v>470</v>
      </c>
      <c r="ORT335" s="301" t="s">
        <v>470</v>
      </c>
      <c r="ORU335" s="301" t="s">
        <v>470</v>
      </c>
      <c r="ORV335" s="301" t="s">
        <v>470</v>
      </c>
      <c r="ORW335" s="301" t="s">
        <v>470</v>
      </c>
      <c r="ORX335" s="301" t="s">
        <v>470</v>
      </c>
      <c r="ORY335" s="301" t="s">
        <v>470</v>
      </c>
      <c r="ORZ335" s="301" t="s">
        <v>470</v>
      </c>
      <c r="OSA335" s="301" t="s">
        <v>470</v>
      </c>
      <c r="OSB335" s="301" t="s">
        <v>470</v>
      </c>
      <c r="OSC335" s="301" t="s">
        <v>470</v>
      </c>
      <c r="OSD335" s="301" t="s">
        <v>470</v>
      </c>
      <c r="OSE335" s="301" t="s">
        <v>470</v>
      </c>
      <c r="OSF335" s="301" t="s">
        <v>470</v>
      </c>
      <c r="OSG335" s="301" t="s">
        <v>470</v>
      </c>
      <c r="OSH335" s="301" t="s">
        <v>470</v>
      </c>
      <c r="OSI335" s="301" t="s">
        <v>470</v>
      </c>
      <c r="OSJ335" s="301" t="s">
        <v>470</v>
      </c>
      <c r="OSK335" s="301" t="s">
        <v>470</v>
      </c>
      <c r="OSL335" s="301" t="s">
        <v>470</v>
      </c>
      <c r="OSM335" s="301" t="s">
        <v>470</v>
      </c>
      <c r="OSN335" s="301" t="s">
        <v>470</v>
      </c>
      <c r="OSO335" s="301" t="s">
        <v>470</v>
      </c>
      <c r="OSP335" s="301" t="s">
        <v>470</v>
      </c>
      <c r="OSQ335" s="301" t="s">
        <v>470</v>
      </c>
      <c r="OSR335" s="301" t="s">
        <v>470</v>
      </c>
      <c r="OSS335" s="301" t="s">
        <v>470</v>
      </c>
      <c r="OST335" s="301" t="s">
        <v>470</v>
      </c>
      <c r="OSU335" s="301" t="s">
        <v>470</v>
      </c>
      <c r="OSV335" s="301" t="s">
        <v>470</v>
      </c>
      <c r="OSW335" s="301" t="s">
        <v>470</v>
      </c>
      <c r="OSX335" s="301" t="s">
        <v>470</v>
      </c>
      <c r="OSY335" s="301" t="s">
        <v>470</v>
      </c>
      <c r="OSZ335" s="301" t="s">
        <v>470</v>
      </c>
      <c r="OTA335" s="301" t="s">
        <v>470</v>
      </c>
      <c r="OTB335" s="301" t="s">
        <v>470</v>
      </c>
      <c r="OTC335" s="301" t="s">
        <v>470</v>
      </c>
      <c r="OTD335" s="301" t="s">
        <v>470</v>
      </c>
      <c r="OTE335" s="301" t="s">
        <v>470</v>
      </c>
      <c r="OTF335" s="301" t="s">
        <v>470</v>
      </c>
      <c r="OTG335" s="301" t="s">
        <v>470</v>
      </c>
      <c r="OTH335" s="301" t="s">
        <v>470</v>
      </c>
      <c r="OTI335" s="301" t="s">
        <v>470</v>
      </c>
      <c r="OTJ335" s="301" t="s">
        <v>470</v>
      </c>
      <c r="OTK335" s="301" t="s">
        <v>470</v>
      </c>
      <c r="OTL335" s="301" t="s">
        <v>470</v>
      </c>
      <c r="OTM335" s="301" t="s">
        <v>470</v>
      </c>
      <c r="OTN335" s="301" t="s">
        <v>470</v>
      </c>
      <c r="OTO335" s="301" t="s">
        <v>470</v>
      </c>
      <c r="OTP335" s="301" t="s">
        <v>470</v>
      </c>
      <c r="OTQ335" s="301" t="s">
        <v>470</v>
      </c>
      <c r="OTR335" s="301" t="s">
        <v>470</v>
      </c>
      <c r="OTS335" s="301" t="s">
        <v>470</v>
      </c>
      <c r="OTT335" s="301" t="s">
        <v>470</v>
      </c>
      <c r="OTU335" s="301" t="s">
        <v>470</v>
      </c>
      <c r="OTV335" s="301" t="s">
        <v>470</v>
      </c>
      <c r="OTW335" s="301" t="s">
        <v>470</v>
      </c>
      <c r="OTX335" s="301" t="s">
        <v>470</v>
      </c>
      <c r="OTY335" s="301" t="s">
        <v>470</v>
      </c>
      <c r="OTZ335" s="301" t="s">
        <v>470</v>
      </c>
      <c r="OUA335" s="301" t="s">
        <v>470</v>
      </c>
      <c r="OUB335" s="301" t="s">
        <v>470</v>
      </c>
      <c r="OUC335" s="301" t="s">
        <v>470</v>
      </c>
      <c r="OUD335" s="301" t="s">
        <v>470</v>
      </c>
      <c r="OUE335" s="301" t="s">
        <v>470</v>
      </c>
      <c r="OUF335" s="301" t="s">
        <v>470</v>
      </c>
      <c r="OUG335" s="301" t="s">
        <v>470</v>
      </c>
      <c r="OUH335" s="301" t="s">
        <v>470</v>
      </c>
      <c r="OUI335" s="301" t="s">
        <v>470</v>
      </c>
      <c r="OUJ335" s="301" t="s">
        <v>470</v>
      </c>
      <c r="OUK335" s="301" t="s">
        <v>470</v>
      </c>
      <c r="OUL335" s="301" t="s">
        <v>470</v>
      </c>
      <c r="OUM335" s="301" t="s">
        <v>470</v>
      </c>
      <c r="OUN335" s="301" t="s">
        <v>470</v>
      </c>
      <c r="OUO335" s="301" t="s">
        <v>470</v>
      </c>
      <c r="OUP335" s="301" t="s">
        <v>470</v>
      </c>
      <c r="OUQ335" s="301" t="s">
        <v>470</v>
      </c>
      <c r="OUR335" s="301" t="s">
        <v>470</v>
      </c>
      <c r="OUS335" s="301" t="s">
        <v>470</v>
      </c>
      <c r="OUT335" s="301" t="s">
        <v>470</v>
      </c>
      <c r="OUU335" s="301" t="s">
        <v>470</v>
      </c>
      <c r="OUV335" s="301" t="s">
        <v>470</v>
      </c>
      <c r="OUW335" s="301" t="s">
        <v>470</v>
      </c>
      <c r="OUX335" s="301" t="s">
        <v>470</v>
      </c>
      <c r="OUY335" s="301" t="s">
        <v>470</v>
      </c>
      <c r="OUZ335" s="301" t="s">
        <v>470</v>
      </c>
      <c r="OVA335" s="301" t="s">
        <v>470</v>
      </c>
      <c r="OVB335" s="301" t="s">
        <v>470</v>
      </c>
      <c r="OVC335" s="301" t="s">
        <v>470</v>
      </c>
      <c r="OVD335" s="301" t="s">
        <v>470</v>
      </c>
      <c r="OVE335" s="301" t="s">
        <v>470</v>
      </c>
      <c r="OVF335" s="301" t="s">
        <v>470</v>
      </c>
      <c r="OVG335" s="301" t="s">
        <v>470</v>
      </c>
      <c r="OVH335" s="301" t="s">
        <v>470</v>
      </c>
      <c r="OVI335" s="301" t="s">
        <v>470</v>
      </c>
      <c r="OVJ335" s="301" t="s">
        <v>470</v>
      </c>
      <c r="OVK335" s="301" t="s">
        <v>470</v>
      </c>
      <c r="OVL335" s="301" t="s">
        <v>470</v>
      </c>
      <c r="OVM335" s="301" t="s">
        <v>470</v>
      </c>
      <c r="OVN335" s="301" t="s">
        <v>470</v>
      </c>
      <c r="OVO335" s="301" t="s">
        <v>470</v>
      </c>
      <c r="OVP335" s="301" t="s">
        <v>470</v>
      </c>
      <c r="OVQ335" s="301" t="s">
        <v>470</v>
      </c>
      <c r="OVR335" s="301" t="s">
        <v>470</v>
      </c>
      <c r="OVS335" s="301" t="s">
        <v>470</v>
      </c>
      <c r="OVT335" s="301" t="s">
        <v>470</v>
      </c>
      <c r="OVU335" s="301" t="s">
        <v>470</v>
      </c>
      <c r="OVV335" s="301" t="s">
        <v>470</v>
      </c>
      <c r="OVW335" s="301" t="s">
        <v>470</v>
      </c>
      <c r="OVX335" s="301" t="s">
        <v>470</v>
      </c>
      <c r="OVY335" s="301" t="s">
        <v>470</v>
      </c>
      <c r="OVZ335" s="301" t="s">
        <v>470</v>
      </c>
      <c r="OWA335" s="301" t="s">
        <v>470</v>
      </c>
      <c r="OWB335" s="301" t="s">
        <v>470</v>
      </c>
      <c r="OWC335" s="301" t="s">
        <v>470</v>
      </c>
      <c r="OWD335" s="301" t="s">
        <v>470</v>
      </c>
      <c r="OWE335" s="301" t="s">
        <v>470</v>
      </c>
      <c r="OWF335" s="301" t="s">
        <v>470</v>
      </c>
      <c r="OWG335" s="301" t="s">
        <v>470</v>
      </c>
      <c r="OWH335" s="301" t="s">
        <v>470</v>
      </c>
      <c r="OWI335" s="301" t="s">
        <v>470</v>
      </c>
      <c r="OWJ335" s="301" t="s">
        <v>470</v>
      </c>
      <c r="OWK335" s="301" t="s">
        <v>470</v>
      </c>
      <c r="OWL335" s="301" t="s">
        <v>470</v>
      </c>
      <c r="OWM335" s="301" t="s">
        <v>470</v>
      </c>
      <c r="OWN335" s="301" t="s">
        <v>470</v>
      </c>
      <c r="OWO335" s="301" t="s">
        <v>470</v>
      </c>
      <c r="OWP335" s="301" t="s">
        <v>470</v>
      </c>
      <c r="OWQ335" s="301" t="s">
        <v>470</v>
      </c>
      <c r="OWR335" s="301" t="s">
        <v>470</v>
      </c>
      <c r="OWS335" s="301" t="s">
        <v>470</v>
      </c>
      <c r="OWT335" s="301" t="s">
        <v>470</v>
      </c>
      <c r="OWU335" s="301" t="s">
        <v>470</v>
      </c>
      <c r="OWV335" s="301" t="s">
        <v>470</v>
      </c>
      <c r="OWW335" s="301" t="s">
        <v>470</v>
      </c>
      <c r="OWX335" s="301" t="s">
        <v>470</v>
      </c>
      <c r="OWY335" s="301" t="s">
        <v>470</v>
      </c>
      <c r="OWZ335" s="301" t="s">
        <v>470</v>
      </c>
      <c r="OXA335" s="301" t="s">
        <v>470</v>
      </c>
      <c r="OXB335" s="301" t="s">
        <v>470</v>
      </c>
      <c r="OXC335" s="301" t="s">
        <v>470</v>
      </c>
      <c r="OXD335" s="301" t="s">
        <v>470</v>
      </c>
      <c r="OXE335" s="301" t="s">
        <v>470</v>
      </c>
      <c r="OXF335" s="301" t="s">
        <v>470</v>
      </c>
      <c r="OXG335" s="301" t="s">
        <v>470</v>
      </c>
      <c r="OXH335" s="301" t="s">
        <v>470</v>
      </c>
      <c r="OXI335" s="301" t="s">
        <v>470</v>
      </c>
      <c r="OXJ335" s="301" t="s">
        <v>470</v>
      </c>
      <c r="OXK335" s="301" t="s">
        <v>470</v>
      </c>
      <c r="OXL335" s="301" t="s">
        <v>470</v>
      </c>
      <c r="OXM335" s="301" t="s">
        <v>470</v>
      </c>
      <c r="OXN335" s="301" t="s">
        <v>470</v>
      </c>
      <c r="OXO335" s="301" t="s">
        <v>470</v>
      </c>
      <c r="OXP335" s="301" t="s">
        <v>470</v>
      </c>
      <c r="OXQ335" s="301" t="s">
        <v>470</v>
      </c>
      <c r="OXR335" s="301" t="s">
        <v>470</v>
      </c>
      <c r="OXS335" s="301" t="s">
        <v>470</v>
      </c>
      <c r="OXT335" s="301" t="s">
        <v>470</v>
      </c>
      <c r="OXU335" s="301" t="s">
        <v>470</v>
      </c>
      <c r="OXV335" s="301" t="s">
        <v>470</v>
      </c>
      <c r="OXW335" s="301" t="s">
        <v>470</v>
      </c>
      <c r="OXX335" s="301" t="s">
        <v>470</v>
      </c>
      <c r="OXY335" s="301" t="s">
        <v>470</v>
      </c>
      <c r="OXZ335" s="301" t="s">
        <v>470</v>
      </c>
      <c r="OYA335" s="301" t="s">
        <v>470</v>
      </c>
      <c r="OYB335" s="301" t="s">
        <v>470</v>
      </c>
      <c r="OYC335" s="301" t="s">
        <v>470</v>
      </c>
      <c r="OYD335" s="301" t="s">
        <v>470</v>
      </c>
      <c r="OYE335" s="301" t="s">
        <v>470</v>
      </c>
      <c r="OYF335" s="301" t="s">
        <v>470</v>
      </c>
      <c r="OYG335" s="301" t="s">
        <v>470</v>
      </c>
      <c r="OYH335" s="301" t="s">
        <v>470</v>
      </c>
      <c r="OYI335" s="301" t="s">
        <v>470</v>
      </c>
      <c r="OYJ335" s="301" t="s">
        <v>470</v>
      </c>
      <c r="OYK335" s="301" t="s">
        <v>470</v>
      </c>
      <c r="OYL335" s="301" t="s">
        <v>470</v>
      </c>
      <c r="OYM335" s="301" t="s">
        <v>470</v>
      </c>
      <c r="OYN335" s="301" t="s">
        <v>470</v>
      </c>
      <c r="OYO335" s="301" t="s">
        <v>470</v>
      </c>
      <c r="OYP335" s="301" t="s">
        <v>470</v>
      </c>
      <c r="OYQ335" s="301" t="s">
        <v>470</v>
      </c>
      <c r="OYR335" s="301" t="s">
        <v>470</v>
      </c>
      <c r="OYS335" s="301" t="s">
        <v>470</v>
      </c>
      <c r="OYT335" s="301" t="s">
        <v>470</v>
      </c>
      <c r="OYU335" s="301" t="s">
        <v>470</v>
      </c>
      <c r="OYV335" s="301" t="s">
        <v>470</v>
      </c>
      <c r="OYW335" s="301" t="s">
        <v>470</v>
      </c>
      <c r="OYX335" s="301" t="s">
        <v>470</v>
      </c>
      <c r="OYY335" s="301" t="s">
        <v>470</v>
      </c>
      <c r="OYZ335" s="301" t="s">
        <v>470</v>
      </c>
      <c r="OZA335" s="301" t="s">
        <v>470</v>
      </c>
      <c r="OZB335" s="301" t="s">
        <v>470</v>
      </c>
      <c r="OZC335" s="301" t="s">
        <v>470</v>
      </c>
      <c r="OZD335" s="301" t="s">
        <v>470</v>
      </c>
      <c r="OZE335" s="301" t="s">
        <v>470</v>
      </c>
      <c r="OZF335" s="301" t="s">
        <v>470</v>
      </c>
      <c r="OZG335" s="301" t="s">
        <v>470</v>
      </c>
      <c r="OZH335" s="301" t="s">
        <v>470</v>
      </c>
      <c r="OZI335" s="301" t="s">
        <v>470</v>
      </c>
      <c r="OZJ335" s="301" t="s">
        <v>470</v>
      </c>
      <c r="OZK335" s="301" t="s">
        <v>470</v>
      </c>
      <c r="OZL335" s="301" t="s">
        <v>470</v>
      </c>
      <c r="OZM335" s="301" t="s">
        <v>470</v>
      </c>
      <c r="OZN335" s="301" t="s">
        <v>470</v>
      </c>
      <c r="OZO335" s="301" t="s">
        <v>470</v>
      </c>
      <c r="OZP335" s="301" t="s">
        <v>470</v>
      </c>
      <c r="OZQ335" s="301" t="s">
        <v>470</v>
      </c>
      <c r="OZR335" s="301" t="s">
        <v>470</v>
      </c>
      <c r="OZS335" s="301" t="s">
        <v>470</v>
      </c>
      <c r="OZT335" s="301" t="s">
        <v>470</v>
      </c>
      <c r="OZU335" s="301" t="s">
        <v>470</v>
      </c>
      <c r="OZV335" s="301" t="s">
        <v>470</v>
      </c>
      <c r="OZW335" s="301" t="s">
        <v>470</v>
      </c>
      <c r="OZX335" s="301" t="s">
        <v>470</v>
      </c>
      <c r="OZY335" s="301" t="s">
        <v>470</v>
      </c>
      <c r="OZZ335" s="301" t="s">
        <v>470</v>
      </c>
      <c r="PAA335" s="301" t="s">
        <v>470</v>
      </c>
      <c r="PAB335" s="301" t="s">
        <v>470</v>
      </c>
      <c r="PAC335" s="301" t="s">
        <v>470</v>
      </c>
      <c r="PAD335" s="301" t="s">
        <v>470</v>
      </c>
      <c r="PAE335" s="301" t="s">
        <v>470</v>
      </c>
      <c r="PAF335" s="301" t="s">
        <v>470</v>
      </c>
      <c r="PAG335" s="301" t="s">
        <v>470</v>
      </c>
      <c r="PAH335" s="301" t="s">
        <v>470</v>
      </c>
      <c r="PAI335" s="301" t="s">
        <v>470</v>
      </c>
      <c r="PAJ335" s="301" t="s">
        <v>470</v>
      </c>
      <c r="PAK335" s="301" t="s">
        <v>470</v>
      </c>
      <c r="PAL335" s="301" t="s">
        <v>470</v>
      </c>
      <c r="PAM335" s="301" t="s">
        <v>470</v>
      </c>
      <c r="PAN335" s="301" t="s">
        <v>470</v>
      </c>
      <c r="PAO335" s="301" t="s">
        <v>470</v>
      </c>
      <c r="PAP335" s="301" t="s">
        <v>470</v>
      </c>
      <c r="PAQ335" s="301" t="s">
        <v>470</v>
      </c>
      <c r="PAR335" s="301" t="s">
        <v>470</v>
      </c>
      <c r="PAS335" s="301" t="s">
        <v>470</v>
      </c>
      <c r="PAT335" s="301" t="s">
        <v>470</v>
      </c>
      <c r="PAU335" s="301" t="s">
        <v>470</v>
      </c>
      <c r="PAV335" s="301" t="s">
        <v>470</v>
      </c>
      <c r="PAW335" s="301" t="s">
        <v>470</v>
      </c>
      <c r="PAX335" s="301" t="s">
        <v>470</v>
      </c>
      <c r="PAY335" s="301" t="s">
        <v>470</v>
      </c>
      <c r="PAZ335" s="301" t="s">
        <v>470</v>
      </c>
      <c r="PBA335" s="301" t="s">
        <v>470</v>
      </c>
      <c r="PBB335" s="301" t="s">
        <v>470</v>
      </c>
      <c r="PBC335" s="301" t="s">
        <v>470</v>
      </c>
      <c r="PBD335" s="301" t="s">
        <v>470</v>
      </c>
      <c r="PBE335" s="301" t="s">
        <v>470</v>
      </c>
      <c r="PBF335" s="301" t="s">
        <v>470</v>
      </c>
      <c r="PBG335" s="301" t="s">
        <v>470</v>
      </c>
      <c r="PBH335" s="301" t="s">
        <v>470</v>
      </c>
      <c r="PBI335" s="301" t="s">
        <v>470</v>
      </c>
      <c r="PBJ335" s="301" t="s">
        <v>470</v>
      </c>
      <c r="PBK335" s="301" t="s">
        <v>470</v>
      </c>
      <c r="PBL335" s="301" t="s">
        <v>470</v>
      </c>
      <c r="PBM335" s="301" t="s">
        <v>470</v>
      </c>
      <c r="PBN335" s="301" t="s">
        <v>470</v>
      </c>
      <c r="PBO335" s="301" t="s">
        <v>470</v>
      </c>
      <c r="PBP335" s="301" t="s">
        <v>470</v>
      </c>
      <c r="PBQ335" s="301" t="s">
        <v>470</v>
      </c>
      <c r="PBR335" s="301" t="s">
        <v>470</v>
      </c>
      <c r="PBS335" s="301" t="s">
        <v>470</v>
      </c>
      <c r="PBT335" s="301" t="s">
        <v>470</v>
      </c>
      <c r="PBU335" s="301" t="s">
        <v>470</v>
      </c>
      <c r="PBV335" s="301" t="s">
        <v>470</v>
      </c>
      <c r="PBW335" s="301" t="s">
        <v>470</v>
      </c>
      <c r="PBX335" s="301" t="s">
        <v>470</v>
      </c>
      <c r="PBY335" s="301" t="s">
        <v>470</v>
      </c>
      <c r="PBZ335" s="301" t="s">
        <v>470</v>
      </c>
      <c r="PCA335" s="301" t="s">
        <v>470</v>
      </c>
      <c r="PCB335" s="301" t="s">
        <v>470</v>
      </c>
      <c r="PCC335" s="301" t="s">
        <v>470</v>
      </c>
      <c r="PCD335" s="301" t="s">
        <v>470</v>
      </c>
      <c r="PCE335" s="301" t="s">
        <v>470</v>
      </c>
      <c r="PCF335" s="301" t="s">
        <v>470</v>
      </c>
      <c r="PCG335" s="301" t="s">
        <v>470</v>
      </c>
      <c r="PCH335" s="301" t="s">
        <v>470</v>
      </c>
      <c r="PCI335" s="301" t="s">
        <v>470</v>
      </c>
      <c r="PCJ335" s="301" t="s">
        <v>470</v>
      </c>
      <c r="PCK335" s="301" t="s">
        <v>470</v>
      </c>
      <c r="PCL335" s="301" t="s">
        <v>470</v>
      </c>
      <c r="PCM335" s="301" t="s">
        <v>470</v>
      </c>
      <c r="PCN335" s="301" t="s">
        <v>470</v>
      </c>
      <c r="PCO335" s="301" t="s">
        <v>470</v>
      </c>
      <c r="PCP335" s="301" t="s">
        <v>470</v>
      </c>
      <c r="PCQ335" s="301" t="s">
        <v>470</v>
      </c>
      <c r="PCR335" s="301" t="s">
        <v>470</v>
      </c>
      <c r="PCS335" s="301" t="s">
        <v>470</v>
      </c>
      <c r="PCT335" s="301" t="s">
        <v>470</v>
      </c>
      <c r="PCU335" s="301" t="s">
        <v>470</v>
      </c>
      <c r="PCV335" s="301" t="s">
        <v>470</v>
      </c>
      <c r="PCW335" s="301" t="s">
        <v>470</v>
      </c>
      <c r="PCX335" s="301" t="s">
        <v>470</v>
      </c>
      <c r="PCY335" s="301" t="s">
        <v>470</v>
      </c>
      <c r="PCZ335" s="301" t="s">
        <v>470</v>
      </c>
      <c r="PDA335" s="301" t="s">
        <v>470</v>
      </c>
      <c r="PDB335" s="301" t="s">
        <v>470</v>
      </c>
      <c r="PDC335" s="301" t="s">
        <v>470</v>
      </c>
      <c r="PDD335" s="301" t="s">
        <v>470</v>
      </c>
      <c r="PDE335" s="301" t="s">
        <v>470</v>
      </c>
      <c r="PDF335" s="301" t="s">
        <v>470</v>
      </c>
      <c r="PDG335" s="301" t="s">
        <v>470</v>
      </c>
      <c r="PDH335" s="301" t="s">
        <v>470</v>
      </c>
      <c r="PDI335" s="301" t="s">
        <v>470</v>
      </c>
      <c r="PDJ335" s="301" t="s">
        <v>470</v>
      </c>
      <c r="PDK335" s="301" t="s">
        <v>470</v>
      </c>
      <c r="PDL335" s="301" t="s">
        <v>470</v>
      </c>
      <c r="PDM335" s="301" t="s">
        <v>470</v>
      </c>
      <c r="PDN335" s="301" t="s">
        <v>470</v>
      </c>
      <c r="PDO335" s="301" t="s">
        <v>470</v>
      </c>
      <c r="PDP335" s="301" t="s">
        <v>470</v>
      </c>
      <c r="PDQ335" s="301" t="s">
        <v>470</v>
      </c>
      <c r="PDR335" s="301" t="s">
        <v>470</v>
      </c>
      <c r="PDS335" s="301" t="s">
        <v>470</v>
      </c>
      <c r="PDT335" s="301" t="s">
        <v>470</v>
      </c>
      <c r="PDU335" s="301" t="s">
        <v>470</v>
      </c>
      <c r="PDV335" s="301" t="s">
        <v>470</v>
      </c>
      <c r="PDW335" s="301" t="s">
        <v>470</v>
      </c>
      <c r="PDX335" s="301" t="s">
        <v>470</v>
      </c>
      <c r="PDY335" s="301" t="s">
        <v>470</v>
      </c>
      <c r="PDZ335" s="301" t="s">
        <v>470</v>
      </c>
      <c r="PEA335" s="301" t="s">
        <v>470</v>
      </c>
      <c r="PEB335" s="301" t="s">
        <v>470</v>
      </c>
      <c r="PEC335" s="301" t="s">
        <v>470</v>
      </c>
      <c r="PED335" s="301" t="s">
        <v>470</v>
      </c>
      <c r="PEE335" s="301" t="s">
        <v>470</v>
      </c>
      <c r="PEF335" s="301" t="s">
        <v>470</v>
      </c>
      <c r="PEG335" s="301" t="s">
        <v>470</v>
      </c>
      <c r="PEH335" s="301" t="s">
        <v>470</v>
      </c>
      <c r="PEI335" s="301" t="s">
        <v>470</v>
      </c>
      <c r="PEJ335" s="301" t="s">
        <v>470</v>
      </c>
      <c r="PEK335" s="301" t="s">
        <v>470</v>
      </c>
      <c r="PEL335" s="301" t="s">
        <v>470</v>
      </c>
      <c r="PEM335" s="301" t="s">
        <v>470</v>
      </c>
      <c r="PEN335" s="301" t="s">
        <v>470</v>
      </c>
      <c r="PEO335" s="301" t="s">
        <v>470</v>
      </c>
      <c r="PEP335" s="301" t="s">
        <v>470</v>
      </c>
      <c r="PEQ335" s="301" t="s">
        <v>470</v>
      </c>
      <c r="PER335" s="301" t="s">
        <v>470</v>
      </c>
      <c r="PES335" s="301" t="s">
        <v>470</v>
      </c>
      <c r="PET335" s="301" t="s">
        <v>470</v>
      </c>
      <c r="PEU335" s="301" t="s">
        <v>470</v>
      </c>
      <c r="PEV335" s="301" t="s">
        <v>470</v>
      </c>
      <c r="PEW335" s="301" t="s">
        <v>470</v>
      </c>
      <c r="PEX335" s="301" t="s">
        <v>470</v>
      </c>
      <c r="PEY335" s="301" t="s">
        <v>470</v>
      </c>
      <c r="PEZ335" s="301" t="s">
        <v>470</v>
      </c>
      <c r="PFA335" s="301" t="s">
        <v>470</v>
      </c>
      <c r="PFB335" s="301" t="s">
        <v>470</v>
      </c>
      <c r="PFC335" s="301" t="s">
        <v>470</v>
      </c>
      <c r="PFD335" s="301" t="s">
        <v>470</v>
      </c>
      <c r="PFE335" s="301" t="s">
        <v>470</v>
      </c>
      <c r="PFF335" s="301" t="s">
        <v>470</v>
      </c>
      <c r="PFG335" s="301" t="s">
        <v>470</v>
      </c>
      <c r="PFH335" s="301" t="s">
        <v>470</v>
      </c>
      <c r="PFI335" s="301" t="s">
        <v>470</v>
      </c>
      <c r="PFJ335" s="301" t="s">
        <v>470</v>
      </c>
      <c r="PFK335" s="301" t="s">
        <v>470</v>
      </c>
      <c r="PFL335" s="301" t="s">
        <v>470</v>
      </c>
      <c r="PFM335" s="301" t="s">
        <v>470</v>
      </c>
      <c r="PFN335" s="301" t="s">
        <v>470</v>
      </c>
      <c r="PFO335" s="301" t="s">
        <v>470</v>
      </c>
      <c r="PFP335" s="301" t="s">
        <v>470</v>
      </c>
      <c r="PFQ335" s="301" t="s">
        <v>470</v>
      </c>
      <c r="PFR335" s="301" t="s">
        <v>470</v>
      </c>
      <c r="PFS335" s="301" t="s">
        <v>470</v>
      </c>
      <c r="PFT335" s="301" t="s">
        <v>470</v>
      </c>
      <c r="PFU335" s="301" t="s">
        <v>470</v>
      </c>
      <c r="PFV335" s="301" t="s">
        <v>470</v>
      </c>
      <c r="PFW335" s="301" t="s">
        <v>470</v>
      </c>
      <c r="PFX335" s="301" t="s">
        <v>470</v>
      </c>
      <c r="PFY335" s="301" t="s">
        <v>470</v>
      </c>
      <c r="PFZ335" s="301" t="s">
        <v>470</v>
      </c>
      <c r="PGA335" s="301" t="s">
        <v>470</v>
      </c>
      <c r="PGB335" s="301" t="s">
        <v>470</v>
      </c>
      <c r="PGC335" s="301" t="s">
        <v>470</v>
      </c>
      <c r="PGD335" s="301" t="s">
        <v>470</v>
      </c>
      <c r="PGE335" s="301" t="s">
        <v>470</v>
      </c>
      <c r="PGF335" s="301" t="s">
        <v>470</v>
      </c>
      <c r="PGG335" s="301" t="s">
        <v>470</v>
      </c>
      <c r="PGH335" s="301" t="s">
        <v>470</v>
      </c>
      <c r="PGI335" s="301" t="s">
        <v>470</v>
      </c>
      <c r="PGJ335" s="301" t="s">
        <v>470</v>
      </c>
      <c r="PGK335" s="301" t="s">
        <v>470</v>
      </c>
      <c r="PGL335" s="301" t="s">
        <v>470</v>
      </c>
      <c r="PGM335" s="301" t="s">
        <v>470</v>
      </c>
      <c r="PGN335" s="301" t="s">
        <v>470</v>
      </c>
      <c r="PGO335" s="301" t="s">
        <v>470</v>
      </c>
      <c r="PGP335" s="301" t="s">
        <v>470</v>
      </c>
      <c r="PGQ335" s="301" t="s">
        <v>470</v>
      </c>
      <c r="PGR335" s="301" t="s">
        <v>470</v>
      </c>
      <c r="PGS335" s="301" t="s">
        <v>470</v>
      </c>
      <c r="PGT335" s="301" t="s">
        <v>470</v>
      </c>
      <c r="PGU335" s="301" t="s">
        <v>470</v>
      </c>
      <c r="PGV335" s="301" t="s">
        <v>470</v>
      </c>
      <c r="PGW335" s="301" t="s">
        <v>470</v>
      </c>
      <c r="PGX335" s="301" t="s">
        <v>470</v>
      </c>
      <c r="PGY335" s="301" t="s">
        <v>470</v>
      </c>
      <c r="PGZ335" s="301" t="s">
        <v>470</v>
      </c>
      <c r="PHA335" s="301" t="s">
        <v>470</v>
      </c>
      <c r="PHB335" s="301" t="s">
        <v>470</v>
      </c>
      <c r="PHC335" s="301" t="s">
        <v>470</v>
      </c>
      <c r="PHD335" s="301" t="s">
        <v>470</v>
      </c>
      <c r="PHE335" s="301" t="s">
        <v>470</v>
      </c>
      <c r="PHF335" s="301" t="s">
        <v>470</v>
      </c>
      <c r="PHG335" s="301" t="s">
        <v>470</v>
      </c>
      <c r="PHH335" s="301" t="s">
        <v>470</v>
      </c>
      <c r="PHI335" s="301" t="s">
        <v>470</v>
      </c>
      <c r="PHJ335" s="301" t="s">
        <v>470</v>
      </c>
      <c r="PHK335" s="301" t="s">
        <v>470</v>
      </c>
      <c r="PHL335" s="301" t="s">
        <v>470</v>
      </c>
      <c r="PHM335" s="301" t="s">
        <v>470</v>
      </c>
      <c r="PHN335" s="301" t="s">
        <v>470</v>
      </c>
      <c r="PHO335" s="301" t="s">
        <v>470</v>
      </c>
      <c r="PHP335" s="301" t="s">
        <v>470</v>
      </c>
      <c r="PHQ335" s="301" t="s">
        <v>470</v>
      </c>
      <c r="PHR335" s="301" t="s">
        <v>470</v>
      </c>
      <c r="PHS335" s="301" t="s">
        <v>470</v>
      </c>
      <c r="PHT335" s="301" t="s">
        <v>470</v>
      </c>
      <c r="PHU335" s="301" t="s">
        <v>470</v>
      </c>
      <c r="PHV335" s="301" t="s">
        <v>470</v>
      </c>
      <c r="PHW335" s="301" t="s">
        <v>470</v>
      </c>
      <c r="PHX335" s="301" t="s">
        <v>470</v>
      </c>
      <c r="PHY335" s="301" t="s">
        <v>470</v>
      </c>
      <c r="PHZ335" s="301" t="s">
        <v>470</v>
      </c>
      <c r="PIA335" s="301" t="s">
        <v>470</v>
      </c>
      <c r="PIB335" s="301" t="s">
        <v>470</v>
      </c>
      <c r="PIC335" s="301" t="s">
        <v>470</v>
      </c>
      <c r="PID335" s="301" t="s">
        <v>470</v>
      </c>
      <c r="PIE335" s="301" t="s">
        <v>470</v>
      </c>
      <c r="PIF335" s="301" t="s">
        <v>470</v>
      </c>
      <c r="PIG335" s="301" t="s">
        <v>470</v>
      </c>
      <c r="PIH335" s="301" t="s">
        <v>470</v>
      </c>
      <c r="PII335" s="301" t="s">
        <v>470</v>
      </c>
      <c r="PIJ335" s="301" t="s">
        <v>470</v>
      </c>
      <c r="PIK335" s="301" t="s">
        <v>470</v>
      </c>
      <c r="PIL335" s="301" t="s">
        <v>470</v>
      </c>
      <c r="PIM335" s="301" t="s">
        <v>470</v>
      </c>
      <c r="PIN335" s="301" t="s">
        <v>470</v>
      </c>
      <c r="PIO335" s="301" t="s">
        <v>470</v>
      </c>
      <c r="PIP335" s="301" t="s">
        <v>470</v>
      </c>
      <c r="PIQ335" s="301" t="s">
        <v>470</v>
      </c>
      <c r="PIR335" s="301" t="s">
        <v>470</v>
      </c>
      <c r="PIS335" s="301" t="s">
        <v>470</v>
      </c>
      <c r="PIT335" s="301" t="s">
        <v>470</v>
      </c>
      <c r="PIU335" s="301" t="s">
        <v>470</v>
      </c>
      <c r="PIV335" s="301" t="s">
        <v>470</v>
      </c>
      <c r="PIW335" s="301" t="s">
        <v>470</v>
      </c>
      <c r="PIX335" s="301" t="s">
        <v>470</v>
      </c>
      <c r="PIY335" s="301" t="s">
        <v>470</v>
      </c>
      <c r="PIZ335" s="301" t="s">
        <v>470</v>
      </c>
      <c r="PJA335" s="301" t="s">
        <v>470</v>
      </c>
      <c r="PJB335" s="301" t="s">
        <v>470</v>
      </c>
      <c r="PJC335" s="301" t="s">
        <v>470</v>
      </c>
      <c r="PJD335" s="301" t="s">
        <v>470</v>
      </c>
      <c r="PJE335" s="301" t="s">
        <v>470</v>
      </c>
      <c r="PJF335" s="301" t="s">
        <v>470</v>
      </c>
      <c r="PJG335" s="301" t="s">
        <v>470</v>
      </c>
      <c r="PJH335" s="301" t="s">
        <v>470</v>
      </c>
      <c r="PJI335" s="301" t="s">
        <v>470</v>
      </c>
      <c r="PJJ335" s="301" t="s">
        <v>470</v>
      </c>
      <c r="PJK335" s="301" t="s">
        <v>470</v>
      </c>
      <c r="PJL335" s="301" t="s">
        <v>470</v>
      </c>
      <c r="PJM335" s="301" t="s">
        <v>470</v>
      </c>
      <c r="PJN335" s="301" t="s">
        <v>470</v>
      </c>
      <c r="PJO335" s="301" t="s">
        <v>470</v>
      </c>
      <c r="PJP335" s="301" t="s">
        <v>470</v>
      </c>
      <c r="PJQ335" s="301" t="s">
        <v>470</v>
      </c>
      <c r="PJR335" s="301" t="s">
        <v>470</v>
      </c>
      <c r="PJS335" s="301" t="s">
        <v>470</v>
      </c>
      <c r="PJT335" s="301" t="s">
        <v>470</v>
      </c>
      <c r="PJU335" s="301" t="s">
        <v>470</v>
      </c>
      <c r="PJV335" s="301" t="s">
        <v>470</v>
      </c>
      <c r="PJW335" s="301" t="s">
        <v>470</v>
      </c>
      <c r="PJX335" s="301" t="s">
        <v>470</v>
      </c>
      <c r="PJY335" s="301" t="s">
        <v>470</v>
      </c>
      <c r="PJZ335" s="301" t="s">
        <v>470</v>
      </c>
      <c r="PKA335" s="301" t="s">
        <v>470</v>
      </c>
      <c r="PKB335" s="301" t="s">
        <v>470</v>
      </c>
      <c r="PKC335" s="301" t="s">
        <v>470</v>
      </c>
      <c r="PKD335" s="301" t="s">
        <v>470</v>
      </c>
      <c r="PKE335" s="301" t="s">
        <v>470</v>
      </c>
      <c r="PKF335" s="301" t="s">
        <v>470</v>
      </c>
      <c r="PKG335" s="301" t="s">
        <v>470</v>
      </c>
      <c r="PKH335" s="301" t="s">
        <v>470</v>
      </c>
      <c r="PKI335" s="301" t="s">
        <v>470</v>
      </c>
      <c r="PKJ335" s="301" t="s">
        <v>470</v>
      </c>
      <c r="PKK335" s="301" t="s">
        <v>470</v>
      </c>
      <c r="PKL335" s="301" t="s">
        <v>470</v>
      </c>
      <c r="PKM335" s="301" t="s">
        <v>470</v>
      </c>
      <c r="PKN335" s="301" t="s">
        <v>470</v>
      </c>
      <c r="PKO335" s="301" t="s">
        <v>470</v>
      </c>
      <c r="PKP335" s="301" t="s">
        <v>470</v>
      </c>
      <c r="PKQ335" s="301" t="s">
        <v>470</v>
      </c>
      <c r="PKR335" s="301" t="s">
        <v>470</v>
      </c>
      <c r="PKS335" s="301" t="s">
        <v>470</v>
      </c>
      <c r="PKT335" s="301" t="s">
        <v>470</v>
      </c>
      <c r="PKU335" s="301" t="s">
        <v>470</v>
      </c>
      <c r="PKV335" s="301" t="s">
        <v>470</v>
      </c>
      <c r="PKW335" s="301" t="s">
        <v>470</v>
      </c>
      <c r="PKX335" s="301" t="s">
        <v>470</v>
      </c>
      <c r="PKY335" s="301" t="s">
        <v>470</v>
      </c>
      <c r="PKZ335" s="301" t="s">
        <v>470</v>
      </c>
      <c r="PLA335" s="301" t="s">
        <v>470</v>
      </c>
      <c r="PLB335" s="301" t="s">
        <v>470</v>
      </c>
      <c r="PLC335" s="301" t="s">
        <v>470</v>
      </c>
      <c r="PLD335" s="301" t="s">
        <v>470</v>
      </c>
      <c r="PLE335" s="301" t="s">
        <v>470</v>
      </c>
      <c r="PLF335" s="301" t="s">
        <v>470</v>
      </c>
      <c r="PLG335" s="301" t="s">
        <v>470</v>
      </c>
      <c r="PLH335" s="301" t="s">
        <v>470</v>
      </c>
      <c r="PLI335" s="301" t="s">
        <v>470</v>
      </c>
      <c r="PLJ335" s="301" t="s">
        <v>470</v>
      </c>
      <c r="PLK335" s="301" t="s">
        <v>470</v>
      </c>
      <c r="PLL335" s="301" t="s">
        <v>470</v>
      </c>
      <c r="PLM335" s="301" t="s">
        <v>470</v>
      </c>
      <c r="PLN335" s="301" t="s">
        <v>470</v>
      </c>
      <c r="PLO335" s="301" t="s">
        <v>470</v>
      </c>
      <c r="PLP335" s="301" t="s">
        <v>470</v>
      </c>
      <c r="PLQ335" s="301" t="s">
        <v>470</v>
      </c>
      <c r="PLR335" s="301" t="s">
        <v>470</v>
      </c>
      <c r="PLS335" s="301" t="s">
        <v>470</v>
      </c>
      <c r="PLT335" s="301" t="s">
        <v>470</v>
      </c>
      <c r="PLU335" s="301" t="s">
        <v>470</v>
      </c>
      <c r="PLV335" s="301" t="s">
        <v>470</v>
      </c>
      <c r="PLW335" s="301" t="s">
        <v>470</v>
      </c>
      <c r="PLX335" s="301" t="s">
        <v>470</v>
      </c>
      <c r="PLY335" s="301" t="s">
        <v>470</v>
      </c>
      <c r="PLZ335" s="301" t="s">
        <v>470</v>
      </c>
      <c r="PMA335" s="301" t="s">
        <v>470</v>
      </c>
      <c r="PMB335" s="301" t="s">
        <v>470</v>
      </c>
      <c r="PMC335" s="301" t="s">
        <v>470</v>
      </c>
      <c r="PMD335" s="301" t="s">
        <v>470</v>
      </c>
      <c r="PME335" s="301" t="s">
        <v>470</v>
      </c>
      <c r="PMF335" s="301" t="s">
        <v>470</v>
      </c>
      <c r="PMG335" s="301" t="s">
        <v>470</v>
      </c>
      <c r="PMH335" s="301" t="s">
        <v>470</v>
      </c>
      <c r="PMI335" s="301" t="s">
        <v>470</v>
      </c>
      <c r="PMJ335" s="301" t="s">
        <v>470</v>
      </c>
      <c r="PMK335" s="301" t="s">
        <v>470</v>
      </c>
      <c r="PML335" s="301" t="s">
        <v>470</v>
      </c>
      <c r="PMM335" s="301" t="s">
        <v>470</v>
      </c>
      <c r="PMN335" s="301" t="s">
        <v>470</v>
      </c>
      <c r="PMO335" s="301" t="s">
        <v>470</v>
      </c>
      <c r="PMP335" s="301" t="s">
        <v>470</v>
      </c>
      <c r="PMQ335" s="301" t="s">
        <v>470</v>
      </c>
      <c r="PMR335" s="301" t="s">
        <v>470</v>
      </c>
      <c r="PMS335" s="301" t="s">
        <v>470</v>
      </c>
      <c r="PMT335" s="301" t="s">
        <v>470</v>
      </c>
      <c r="PMU335" s="301" t="s">
        <v>470</v>
      </c>
      <c r="PMV335" s="301" t="s">
        <v>470</v>
      </c>
      <c r="PMW335" s="301" t="s">
        <v>470</v>
      </c>
      <c r="PMX335" s="301" t="s">
        <v>470</v>
      </c>
      <c r="PMY335" s="301" t="s">
        <v>470</v>
      </c>
      <c r="PMZ335" s="301" t="s">
        <v>470</v>
      </c>
      <c r="PNA335" s="301" t="s">
        <v>470</v>
      </c>
      <c r="PNB335" s="301" t="s">
        <v>470</v>
      </c>
      <c r="PNC335" s="301" t="s">
        <v>470</v>
      </c>
      <c r="PND335" s="301" t="s">
        <v>470</v>
      </c>
      <c r="PNE335" s="301" t="s">
        <v>470</v>
      </c>
      <c r="PNF335" s="301" t="s">
        <v>470</v>
      </c>
      <c r="PNG335" s="301" t="s">
        <v>470</v>
      </c>
      <c r="PNH335" s="301" t="s">
        <v>470</v>
      </c>
      <c r="PNI335" s="301" t="s">
        <v>470</v>
      </c>
      <c r="PNJ335" s="301" t="s">
        <v>470</v>
      </c>
      <c r="PNK335" s="301" t="s">
        <v>470</v>
      </c>
      <c r="PNL335" s="301" t="s">
        <v>470</v>
      </c>
      <c r="PNM335" s="301" t="s">
        <v>470</v>
      </c>
      <c r="PNN335" s="301" t="s">
        <v>470</v>
      </c>
      <c r="PNO335" s="301" t="s">
        <v>470</v>
      </c>
      <c r="PNP335" s="301" t="s">
        <v>470</v>
      </c>
      <c r="PNQ335" s="301" t="s">
        <v>470</v>
      </c>
      <c r="PNR335" s="301" t="s">
        <v>470</v>
      </c>
      <c r="PNS335" s="301" t="s">
        <v>470</v>
      </c>
      <c r="PNT335" s="301" t="s">
        <v>470</v>
      </c>
      <c r="PNU335" s="301" t="s">
        <v>470</v>
      </c>
      <c r="PNV335" s="301" t="s">
        <v>470</v>
      </c>
      <c r="PNW335" s="301" t="s">
        <v>470</v>
      </c>
      <c r="PNX335" s="301" t="s">
        <v>470</v>
      </c>
      <c r="PNY335" s="301" t="s">
        <v>470</v>
      </c>
      <c r="PNZ335" s="301" t="s">
        <v>470</v>
      </c>
      <c r="POA335" s="301" t="s">
        <v>470</v>
      </c>
      <c r="POB335" s="301" t="s">
        <v>470</v>
      </c>
      <c r="POC335" s="301" t="s">
        <v>470</v>
      </c>
      <c r="POD335" s="301" t="s">
        <v>470</v>
      </c>
      <c r="POE335" s="301" t="s">
        <v>470</v>
      </c>
      <c r="POF335" s="301" t="s">
        <v>470</v>
      </c>
      <c r="POG335" s="301" t="s">
        <v>470</v>
      </c>
      <c r="POH335" s="301" t="s">
        <v>470</v>
      </c>
      <c r="POI335" s="301" t="s">
        <v>470</v>
      </c>
      <c r="POJ335" s="301" t="s">
        <v>470</v>
      </c>
      <c r="POK335" s="301" t="s">
        <v>470</v>
      </c>
      <c r="POL335" s="301" t="s">
        <v>470</v>
      </c>
      <c r="POM335" s="301" t="s">
        <v>470</v>
      </c>
      <c r="PON335" s="301" t="s">
        <v>470</v>
      </c>
      <c r="POO335" s="301" t="s">
        <v>470</v>
      </c>
      <c r="POP335" s="301" t="s">
        <v>470</v>
      </c>
      <c r="POQ335" s="301" t="s">
        <v>470</v>
      </c>
      <c r="POR335" s="301" t="s">
        <v>470</v>
      </c>
      <c r="POS335" s="301" t="s">
        <v>470</v>
      </c>
      <c r="POT335" s="301" t="s">
        <v>470</v>
      </c>
      <c r="POU335" s="301" t="s">
        <v>470</v>
      </c>
      <c r="POV335" s="301" t="s">
        <v>470</v>
      </c>
      <c r="POW335" s="301" t="s">
        <v>470</v>
      </c>
      <c r="POX335" s="301" t="s">
        <v>470</v>
      </c>
      <c r="POY335" s="301" t="s">
        <v>470</v>
      </c>
      <c r="POZ335" s="301" t="s">
        <v>470</v>
      </c>
      <c r="PPA335" s="301" t="s">
        <v>470</v>
      </c>
      <c r="PPB335" s="301" t="s">
        <v>470</v>
      </c>
      <c r="PPC335" s="301" t="s">
        <v>470</v>
      </c>
      <c r="PPD335" s="301" t="s">
        <v>470</v>
      </c>
      <c r="PPE335" s="301" t="s">
        <v>470</v>
      </c>
      <c r="PPF335" s="301" t="s">
        <v>470</v>
      </c>
      <c r="PPG335" s="301" t="s">
        <v>470</v>
      </c>
      <c r="PPH335" s="301" t="s">
        <v>470</v>
      </c>
      <c r="PPI335" s="301" t="s">
        <v>470</v>
      </c>
      <c r="PPJ335" s="301" t="s">
        <v>470</v>
      </c>
      <c r="PPK335" s="301" t="s">
        <v>470</v>
      </c>
      <c r="PPL335" s="301" t="s">
        <v>470</v>
      </c>
      <c r="PPM335" s="301" t="s">
        <v>470</v>
      </c>
      <c r="PPN335" s="301" t="s">
        <v>470</v>
      </c>
      <c r="PPO335" s="301" t="s">
        <v>470</v>
      </c>
      <c r="PPP335" s="301" t="s">
        <v>470</v>
      </c>
      <c r="PPQ335" s="301" t="s">
        <v>470</v>
      </c>
      <c r="PPR335" s="301" t="s">
        <v>470</v>
      </c>
      <c r="PPS335" s="301" t="s">
        <v>470</v>
      </c>
      <c r="PPT335" s="301" t="s">
        <v>470</v>
      </c>
      <c r="PPU335" s="301" t="s">
        <v>470</v>
      </c>
      <c r="PPV335" s="301" t="s">
        <v>470</v>
      </c>
      <c r="PPW335" s="301" t="s">
        <v>470</v>
      </c>
      <c r="PPX335" s="301" t="s">
        <v>470</v>
      </c>
      <c r="PPY335" s="301" t="s">
        <v>470</v>
      </c>
      <c r="PPZ335" s="301" t="s">
        <v>470</v>
      </c>
      <c r="PQA335" s="301" t="s">
        <v>470</v>
      </c>
      <c r="PQB335" s="301" t="s">
        <v>470</v>
      </c>
      <c r="PQC335" s="301" t="s">
        <v>470</v>
      </c>
      <c r="PQD335" s="301" t="s">
        <v>470</v>
      </c>
      <c r="PQE335" s="301" t="s">
        <v>470</v>
      </c>
      <c r="PQF335" s="301" t="s">
        <v>470</v>
      </c>
      <c r="PQG335" s="301" t="s">
        <v>470</v>
      </c>
      <c r="PQH335" s="301" t="s">
        <v>470</v>
      </c>
      <c r="PQI335" s="301" t="s">
        <v>470</v>
      </c>
      <c r="PQJ335" s="301" t="s">
        <v>470</v>
      </c>
      <c r="PQK335" s="301" t="s">
        <v>470</v>
      </c>
      <c r="PQL335" s="301" t="s">
        <v>470</v>
      </c>
      <c r="PQM335" s="301" t="s">
        <v>470</v>
      </c>
      <c r="PQN335" s="301" t="s">
        <v>470</v>
      </c>
      <c r="PQO335" s="301" t="s">
        <v>470</v>
      </c>
      <c r="PQP335" s="301" t="s">
        <v>470</v>
      </c>
      <c r="PQQ335" s="301" t="s">
        <v>470</v>
      </c>
      <c r="PQR335" s="301" t="s">
        <v>470</v>
      </c>
      <c r="PQS335" s="301" t="s">
        <v>470</v>
      </c>
      <c r="PQT335" s="301" t="s">
        <v>470</v>
      </c>
      <c r="PQU335" s="301" t="s">
        <v>470</v>
      </c>
      <c r="PQV335" s="301" t="s">
        <v>470</v>
      </c>
      <c r="PQW335" s="301" t="s">
        <v>470</v>
      </c>
      <c r="PQX335" s="301" t="s">
        <v>470</v>
      </c>
      <c r="PQY335" s="301" t="s">
        <v>470</v>
      </c>
      <c r="PQZ335" s="301" t="s">
        <v>470</v>
      </c>
      <c r="PRA335" s="301" t="s">
        <v>470</v>
      </c>
      <c r="PRB335" s="301" t="s">
        <v>470</v>
      </c>
      <c r="PRC335" s="301" t="s">
        <v>470</v>
      </c>
      <c r="PRD335" s="301" t="s">
        <v>470</v>
      </c>
      <c r="PRE335" s="301" t="s">
        <v>470</v>
      </c>
      <c r="PRF335" s="301" t="s">
        <v>470</v>
      </c>
      <c r="PRG335" s="301" t="s">
        <v>470</v>
      </c>
      <c r="PRH335" s="301" t="s">
        <v>470</v>
      </c>
      <c r="PRI335" s="301" t="s">
        <v>470</v>
      </c>
      <c r="PRJ335" s="301" t="s">
        <v>470</v>
      </c>
      <c r="PRK335" s="301" t="s">
        <v>470</v>
      </c>
      <c r="PRL335" s="301" t="s">
        <v>470</v>
      </c>
      <c r="PRM335" s="301" t="s">
        <v>470</v>
      </c>
      <c r="PRN335" s="301" t="s">
        <v>470</v>
      </c>
      <c r="PRO335" s="301" t="s">
        <v>470</v>
      </c>
      <c r="PRP335" s="301" t="s">
        <v>470</v>
      </c>
      <c r="PRQ335" s="301" t="s">
        <v>470</v>
      </c>
      <c r="PRR335" s="301" t="s">
        <v>470</v>
      </c>
      <c r="PRS335" s="301" t="s">
        <v>470</v>
      </c>
      <c r="PRT335" s="301" t="s">
        <v>470</v>
      </c>
      <c r="PRU335" s="301" t="s">
        <v>470</v>
      </c>
      <c r="PRV335" s="301" t="s">
        <v>470</v>
      </c>
      <c r="PRW335" s="301" t="s">
        <v>470</v>
      </c>
      <c r="PRX335" s="301" t="s">
        <v>470</v>
      </c>
      <c r="PRY335" s="301" t="s">
        <v>470</v>
      </c>
      <c r="PRZ335" s="301" t="s">
        <v>470</v>
      </c>
      <c r="PSA335" s="301" t="s">
        <v>470</v>
      </c>
      <c r="PSB335" s="301" t="s">
        <v>470</v>
      </c>
      <c r="PSC335" s="301" t="s">
        <v>470</v>
      </c>
      <c r="PSD335" s="301" t="s">
        <v>470</v>
      </c>
      <c r="PSE335" s="301" t="s">
        <v>470</v>
      </c>
      <c r="PSF335" s="301" t="s">
        <v>470</v>
      </c>
      <c r="PSG335" s="301" t="s">
        <v>470</v>
      </c>
      <c r="PSH335" s="301" t="s">
        <v>470</v>
      </c>
      <c r="PSI335" s="301" t="s">
        <v>470</v>
      </c>
      <c r="PSJ335" s="301" t="s">
        <v>470</v>
      </c>
      <c r="PSK335" s="301" t="s">
        <v>470</v>
      </c>
      <c r="PSL335" s="301" t="s">
        <v>470</v>
      </c>
      <c r="PSM335" s="301" t="s">
        <v>470</v>
      </c>
      <c r="PSN335" s="301" t="s">
        <v>470</v>
      </c>
      <c r="PSO335" s="301" t="s">
        <v>470</v>
      </c>
      <c r="PSP335" s="301" t="s">
        <v>470</v>
      </c>
      <c r="PSQ335" s="301" t="s">
        <v>470</v>
      </c>
      <c r="PSR335" s="301" t="s">
        <v>470</v>
      </c>
      <c r="PSS335" s="301" t="s">
        <v>470</v>
      </c>
      <c r="PST335" s="301" t="s">
        <v>470</v>
      </c>
      <c r="PSU335" s="301" t="s">
        <v>470</v>
      </c>
      <c r="PSV335" s="301" t="s">
        <v>470</v>
      </c>
      <c r="PSW335" s="301" t="s">
        <v>470</v>
      </c>
      <c r="PSX335" s="301" t="s">
        <v>470</v>
      </c>
      <c r="PSY335" s="301" t="s">
        <v>470</v>
      </c>
      <c r="PSZ335" s="301" t="s">
        <v>470</v>
      </c>
      <c r="PTA335" s="301" t="s">
        <v>470</v>
      </c>
      <c r="PTB335" s="301" t="s">
        <v>470</v>
      </c>
      <c r="PTC335" s="301" t="s">
        <v>470</v>
      </c>
      <c r="PTD335" s="301" t="s">
        <v>470</v>
      </c>
      <c r="PTE335" s="301" t="s">
        <v>470</v>
      </c>
      <c r="PTF335" s="301" t="s">
        <v>470</v>
      </c>
      <c r="PTG335" s="301" t="s">
        <v>470</v>
      </c>
      <c r="PTH335" s="301" t="s">
        <v>470</v>
      </c>
      <c r="PTI335" s="301" t="s">
        <v>470</v>
      </c>
      <c r="PTJ335" s="301" t="s">
        <v>470</v>
      </c>
      <c r="PTK335" s="301" t="s">
        <v>470</v>
      </c>
      <c r="PTL335" s="301" t="s">
        <v>470</v>
      </c>
      <c r="PTM335" s="301" t="s">
        <v>470</v>
      </c>
      <c r="PTN335" s="301" t="s">
        <v>470</v>
      </c>
      <c r="PTO335" s="301" t="s">
        <v>470</v>
      </c>
      <c r="PTP335" s="301" t="s">
        <v>470</v>
      </c>
      <c r="PTQ335" s="301" t="s">
        <v>470</v>
      </c>
      <c r="PTR335" s="301" t="s">
        <v>470</v>
      </c>
      <c r="PTS335" s="301" t="s">
        <v>470</v>
      </c>
      <c r="PTT335" s="301" t="s">
        <v>470</v>
      </c>
      <c r="PTU335" s="301" t="s">
        <v>470</v>
      </c>
      <c r="PTV335" s="301" t="s">
        <v>470</v>
      </c>
      <c r="PTW335" s="301" t="s">
        <v>470</v>
      </c>
      <c r="PTX335" s="301" t="s">
        <v>470</v>
      </c>
      <c r="PTY335" s="301" t="s">
        <v>470</v>
      </c>
      <c r="PTZ335" s="301" t="s">
        <v>470</v>
      </c>
      <c r="PUA335" s="301" t="s">
        <v>470</v>
      </c>
      <c r="PUB335" s="301" t="s">
        <v>470</v>
      </c>
      <c r="PUC335" s="301" t="s">
        <v>470</v>
      </c>
      <c r="PUD335" s="301" t="s">
        <v>470</v>
      </c>
      <c r="PUE335" s="301" t="s">
        <v>470</v>
      </c>
      <c r="PUF335" s="301" t="s">
        <v>470</v>
      </c>
      <c r="PUG335" s="301" t="s">
        <v>470</v>
      </c>
      <c r="PUH335" s="301" t="s">
        <v>470</v>
      </c>
      <c r="PUI335" s="301" t="s">
        <v>470</v>
      </c>
      <c r="PUJ335" s="301" t="s">
        <v>470</v>
      </c>
      <c r="PUK335" s="301" t="s">
        <v>470</v>
      </c>
      <c r="PUL335" s="301" t="s">
        <v>470</v>
      </c>
      <c r="PUM335" s="301" t="s">
        <v>470</v>
      </c>
      <c r="PUN335" s="301" t="s">
        <v>470</v>
      </c>
      <c r="PUO335" s="301" t="s">
        <v>470</v>
      </c>
      <c r="PUP335" s="301" t="s">
        <v>470</v>
      </c>
      <c r="PUQ335" s="301" t="s">
        <v>470</v>
      </c>
      <c r="PUR335" s="301" t="s">
        <v>470</v>
      </c>
      <c r="PUS335" s="301" t="s">
        <v>470</v>
      </c>
      <c r="PUT335" s="301" t="s">
        <v>470</v>
      </c>
      <c r="PUU335" s="301" t="s">
        <v>470</v>
      </c>
      <c r="PUV335" s="301" t="s">
        <v>470</v>
      </c>
      <c r="PUW335" s="301" t="s">
        <v>470</v>
      </c>
      <c r="PUX335" s="301" t="s">
        <v>470</v>
      </c>
      <c r="PUY335" s="301" t="s">
        <v>470</v>
      </c>
      <c r="PUZ335" s="301" t="s">
        <v>470</v>
      </c>
      <c r="PVA335" s="301" t="s">
        <v>470</v>
      </c>
      <c r="PVB335" s="301" t="s">
        <v>470</v>
      </c>
      <c r="PVC335" s="301" t="s">
        <v>470</v>
      </c>
      <c r="PVD335" s="301" t="s">
        <v>470</v>
      </c>
      <c r="PVE335" s="301" t="s">
        <v>470</v>
      </c>
      <c r="PVF335" s="301" t="s">
        <v>470</v>
      </c>
      <c r="PVG335" s="301" t="s">
        <v>470</v>
      </c>
      <c r="PVH335" s="301" t="s">
        <v>470</v>
      </c>
      <c r="PVI335" s="301" t="s">
        <v>470</v>
      </c>
      <c r="PVJ335" s="301" t="s">
        <v>470</v>
      </c>
      <c r="PVK335" s="301" t="s">
        <v>470</v>
      </c>
      <c r="PVL335" s="301" t="s">
        <v>470</v>
      </c>
      <c r="PVM335" s="301" t="s">
        <v>470</v>
      </c>
      <c r="PVN335" s="301" t="s">
        <v>470</v>
      </c>
      <c r="PVO335" s="301" t="s">
        <v>470</v>
      </c>
      <c r="PVP335" s="301" t="s">
        <v>470</v>
      </c>
      <c r="PVQ335" s="301" t="s">
        <v>470</v>
      </c>
      <c r="PVR335" s="301" t="s">
        <v>470</v>
      </c>
      <c r="PVS335" s="301" t="s">
        <v>470</v>
      </c>
      <c r="PVT335" s="301" t="s">
        <v>470</v>
      </c>
      <c r="PVU335" s="301" t="s">
        <v>470</v>
      </c>
      <c r="PVV335" s="301" t="s">
        <v>470</v>
      </c>
      <c r="PVW335" s="301" t="s">
        <v>470</v>
      </c>
      <c r="PVX335" s="301" t="s">
        <v>470</v>
      </c>
      <c r="PVY335" s="301" t="s">
        <v>470</v>
      </c>
      <c r="PVZ335" s="301" t="s">
        <v>470</v>
      </c>
      <c r="PWA335" s="301" t="s">
        <v>470</v>
      </c>
      <c r="PWB335" s="301" t="s">
        <v>470</v>
      </c>
      <c r="PWC335" s="301" t="s">
        <v>470</v>
      </c>
      <c r="PWD335" s="301" t="s">
        <v>470</v>
      </c>
      <c r="PWE335" s="301" t="s">
        <v>470</v>
      </c>
      <c r="PWF335" s="301" t="s">
        <v>470</v>
      </c>
      <c r="PWG335" s="301" t="s">
        <v>470</v>
      </c>
      <c r="PWH335" s="301" t="s">
        <v>470</v>
      </c>
      <c r="PWI335" s="301" t="s">
        <v>470</v>
      </c>
      <c r="PWJ335" s="301" t="s">
        <v>470</v>
      </c>
      <c r="PWK335" s="301" t="s">
        <v>470</v>
      </c>
      <c r="PWL335" s="301" t="s">
        <v>470</v>
      </c>
      <c r="PWM335" s="301" t="s">
        <v>470</v>
      </c>
      <c r="PWN335" s="301" t="s">
        <v>470</v>
      </c>
      <c r="PWO335" s="301" t="s">
        <v>470</v>
      </c>
      <c r="PWP335" s="301" t="s">
        <v>470</v>
      </c>
      <c r="PWQ335" s="301" t="s">
        <v>470</v>
      </c>
      <c r="PWR335" s="301" t="s">
        <v>470</v>
      </c>
      <c r="PWS335" s="301" t="s">
        <v>470</v>
      </c>
      <c r="PWT335" s="301" t="s">
        <v>470</v>
      </c>
      <c r="PWU335" s="301" t="s">
        <v>470</v>
      </c>
      <c r="PWV335" s="301" t="s">
        <v>470</v>
      </c>
      <c r="PWW335" s="301" t="s">
        <v>470</v>
      </c>
      <c r="PWX335" s="301" t="s">
        <v>470</v>
      </c>
      <c r="PWY335" s="301" t="s">
        <v>470</v>
      </c>
      <c r="PWZ335" s="301" t="s">
        <v>470</v>
      </c>
      <c r="PXA335" s="301" t="s">
        <v>470</v>
      </c>
      <c r="PXB335" s="301" t="s">
        <v>470</v>
      </c>
      <c r="PXC335" s="301" t="s">
        <v>470</v>
      </c>
      <c r="PXD335" s="301" t="s">
        <v>470</v>
      </c>
      <c r="PXE335" s="301" t="s">
        <v>470</v>
      </c>
      <c r="PXF335" s="301" t="s">
        <v>470</v>
      </c>
      <c r="PXG335" s="301" t="s">
        <v>470</v>
      </c>
      <c r="PXH335" s="301" t="s">
        <v>470</v>
      </c>
      <c r="PXI335" s="301" t="s">
        <v>470</v>
      </c>
      <c r="PXJ335" s="301" t="s">
        <v>470</v>
      </c>
      <c r="PXK335" s="301" t="s">
        <v>470</v>
      </c>
      <c r="PXL335" s="301" t="s">
        <v>470</v>
      </c>
      <c r="PXM335" s="301" t="s">
        <v>470</v>
      </c>
      <c r="PXN335" s="301" t="s">
        <v>470</v>
      </c>
      <c r="PXO335" s="301" t="s">
        <v>470</v>
      </c>
      <c r="PXP335" s="301" t="s">
        <v>470</v>
      </c>
      <c r="PXQ335" s="301" t="s">
        <v>470</v>
      </c>
      <c r="PXR335" s="301" t="s">
        <v>470</v>
      </c>
      <c r="PXS335" s="301" t="s">
        <v>470</v>
      </c>
      <c r="PXT335" s="301" t="s">
        <v>470</v>
      </c>
      <c r="PXU335" s="301" t="s">
        <v>470</v>
      </c>
      <c r="PXV335" s="301" t="s">
        <v>470</v>
      </c>
      <c r="PXW335" s="301" t="s">
        <v>470</v>
      </c>
      <c r="PXX335" s="301" t="s">
        <v>470</v>
      </c>
      <c r="PXY335" s="301" t="s">
        <v>470</v>
      </c>
      <c r="PXZ335" s="301" t="s">
        <v>470</v>
      </c>
      <c r="PYA335" s="301" t="s">
        <v>470</v>
      </c>
      <c r="PYB335" s="301" t="s">
        <v>470</v>
      </c>
      <c r="PYC335" s="301" t="s">
        <v>470</v>
      </c>
      <c r="PYD335" s="301" t="s">
        <v>470</v>
      </c>
      <c r="PYE335" s="301" t="s">
        <v>470</v>
      </c>
      <c r="PYF335" s="301" t="s">
        <v>470</v>
      </c>
      <c r="PYG335" s="301" t="s">
        <v>470</v>
      </c>
      <c r="PYH335" s="301" t="s">
        <v>470</v>
      </c>
      <c r="PYI335" s="301" t="s">
        <v>470</v>
      </c>
      <c r="PYJ335" s="301" t="s">
        <v>470</v>
      </c>
      <c r="PYK335" s="301" t="s">
        <v>470</v>
      </c>
      <c r="PYL335" s="301" t="s">
        <v>470</v>
      </c>
      <c r="PYM335" s="301" t="s">
        <v>470</v>
      </c>
      <c r="PYN335" s="301" t="s">
        <v>470</v>
      </c>
      <c r="PYO335" s="301" t="s">
        <v>470</v>
      </c>
      <c r="PYP335" s="301" t="s">
        <v>470</v>
      </c>
      <c r="PYQ335" s="301" t="s">
        <v>470</v>
      </c>
      <c r="PYR335" s="301" t="s">
        <v>470</v>
      </c>
      <c r="PYS335" s="301" t="s">
        <v>470</v>
      </c>
      <c r="PYT335" s="301" t="s">
        <v>470</v>
      </c>
      <c r="PYU335" s="301" t="s">
        <v>470</v>
      </c>
      <c r="PYV335" s="301" t="s">
        <v>470</v>
      </c>
      <c r="PYW335" s="301" t="s">
        <v>470</v>
      </c>
      <c r="PYX335" s="301" t="s">
        <v>470</v>
      </c>
      <c r="PYY335" s="301" t="s">
        <v>470</v>
      </c>
      <c r="PYZ335" s="301" t="s">
        <v>470</v>
      </c>
      <c r="PZA335" s="301" t="s">
        <v>470</v>
      </c>
      <c r="PZB335" s="301" t="s">
        <v>470</v>
      </c>
      <c r="PZC335" s="301" t="s">
        <v>470</v>
      </c>
      <c r="PZD335" s="301" t="s">
        <v>470</v>
      </c>
      <c r="PZE335" s="301" t="s">
        <v>470</v>
      </c>
      <c r="PZF335" s="301" t="s">
        <v>470</v>
      </c>
      <c r="PZG335" s="301" t="s">
        <v>470</v>
      </c>
      <c r="PZH335" s="301" t="s">
        <v>470</v>
      </c>
      <c r="PZI335" s="301" t="s">
        <v>470</v>
      </c>
      <c r="PZJ335" s="301" t="s">
        <v>470</v>
      </c>
      <c r="PZK335" s="301" t="s">
        <v>470</v>
      </c>
      <c r="PZL335" s="301" t="s">
        <v>470</v>
      </c>
      <c r="PZM335" s="301" t="s">
        <v>470</v>
      </c>
      <c r="PZN335" s="301" t="s">
        <v>470</v>
      </c>
      <c r="PZO335" s="301" t="s">
        <v>470</v>
      </c>
      <c r="PZP335" s="301" t="s">
        <v>470</v>
      </c>
      <c r="PZQ335" s="301" t="s">
        <v>470</v>
      </c>
      <c r="PZR335" s="301" t="s">
        <v>470</v>
      </c>
      <c r="PZS335" s="301" t="s">
        <v>470</v>
      </c>
      <c r="PZT335" s="301" t="s">
        <v>470</v>
      </c>
      <c r="PZU335" s="301" t="s">
        <v>470</v>
      </c>
      <c r="PZV335" s="301" t="s">
        <v>470</v>
      </c>
      <c r="PZW335" s="301" t="s">
        <v>470</v>
      </c>
      <c r="PZX335" s="301" t="s">
        <v>470</v>
      </c>
      <c r="PZY335" s="301" t="s">
        <v>470</v>
      </c>
      <c r="PZZ335" s="301" t="s">
        <v>470</v>
      </c>
      <c r="QAA335" s="301" t="s">
        <v>470</v>
      </c>
      <c r="QAB335" s="301" t="s">
        <v>470</v>
      </c>
      <c r="QAC335" s="301" t="s">
        <v>470</v>
      </c>
      <c r="QAD335" s="301" t="s">
        <v>470</v>
      </c>
      <c r="QAE335" s="301" t="s">
        <v>470</v>
      </c>
      <c r="QAF335" s="301" t="s">
        <v>470</v>
      </c>
      <c r="QAG335" s="301" t="s">
        <v>470</v>
      </c>
      <c r="QAH335" s="301" t="s">
        <v>470</v>
      </c>
      <c r="QAI335" s="301" t="s">
        <v>470</v>
      </c>
      <c r="QAJ335" s="301" t="s">
        <v>470</v>
      </c>
      <c r="QAK335" s="301" t="s">
        <v>470</v>
      </c>
      <c r="QAL335" s="301" t="s">
        <v>470</v>
      </c>
      <c r="QAM335" s="301" t="s">
        <v>470</v>
      </c>
      <c r="QAN335" s="301" t="s">
        <v>470</v>
      </c>
      <c r="QAO335" s="301" t="s">
        <v>470</v>
      </c>
      <c r="QAP335" s="301" t="s">
        <v>470</v>
      </c>
      <c r="QAQ335" s="301" t="s">
        <v>470</v>
      </c>
      <c r="QAR335" s="301" t="s">
        <v>470</v>
      </c>
      <c r="QAS335" s="301" t="s">
        <v>470</v>
      </c>
      <c r="QAT335" s="301" t="s">
        <v>470</v>
      </c>
      <c r="QAU335" s="301" t="s">
        <v>470</v>
      </c>
      <c r="QAV335" s="301" t="s">
        <v>470</v>
      </c>
      <c r="QAW335" s="301" t="s">
        <v>470</v>
      </c>
      <c r="QAX335" s="301" t="s">
        <v>470</v>
      </c>
      <c r="QAY335" s="301" t="s">
        <v>470</v>
      </c>
      <c r="QAZ335" s="301" t="s">
        <v>470</v>
      </c>
      <c r="QBA335" s="301" t="s">
        <v>470</v>
      </c>
      <c r="QBB335" s="301" t="s">
        <v>470</v>
      </c>
      <c r="QBC335" s="301" t="s">
        <v>470</v>
      </c>
      <c r="QBD335" s="301" t="s">
        <v>470</v>
      </c>
      <c r="QBE335" s="301" t="s">
        <v>470</v>
      </c>
      <c r="QBF335" s="301" t="s">
        <v>470</v>
      </c>
      <c r="QBG335" s="301" t="s">
        <v>470</v>
      </c>
      <c r="QBH335" s="301" t="s">
        <v>470</v>
      </c>
      <c r="QBI335" s="301" t="s">
        <v>470</v>
      </c>
      <c r="QBJ335" s="301" t="s">
        <v>470</v>
      </c>
      <c r="QBK335" s="301" t="s">
        <v>470</v>
      </c>
      <c r="QBL335" s="301" t="s">
        <v>470</v>
      </c>
      <c r="QBM335" s="301" t="s">
        <v>470</v>
      </c>
      <c r="QBN335" s="301" t="s">
        <v>470</v>
      </c>
      <c r="QBO335" s="301" t="s">
        <v>470</v>
      </c>
      <c r="QBP335" s="301" t="s">
        <v>470</v>
      </c>
      <c r="QBQ335" s="301" t="s">
        <v>470</v>
      </c>
      <c r="QBR335" s="301" t="s">
        <v>470</v>
      </c>
      <c r="QBS335" s="301" t="s">
        <v>470</v>
      </c>
      <c r="QBT335" s="301" t="s">
        <v>470</v>
      </c>
      <c r="QBU335" s="301" t="s">
        <v>470</v>
      </c>
      <c r="QBV335" s="301" t="s">
        <v>470</v>
      </c>
      <c r="QBW335" s="301" t="s">
        <v>470</v>
      </c>
      <c r="QBX335" s="301" t="s">
        <v>470</v>
      </c>
      <c r="QBY335" s="301" t="s">
        <v>470</v>
      </c>
      <c r="QBZ335" s="301" t="s">
        <v>470</v>
      </c>
      <c r="QCA335" s="301" t="s">
        <v>470</v>
      </c>
      <c r="QCB335" s="301" t="s">
        <v>470</v>
      </c>
      <c r="QCC335" s="301" t="s">
        <v>470</v>
      </c>
      <c r="QCD335" s="301" t="s">
        <v>470</v>
      </c>
      <c r="QCE335" s="301" t="s">
        <v>470</v>
      </c>
      <c r="QCF335" s="301" t="s">
        <v>470</v>
      </c>
      <c r="QCG335" s="301" t="s">
        <v>470</v>
      </c>
      <c r="QCH335" s="301" t="s">
        <v>470</v>
      </c>
      <c r="QCI335" s="301" t="s">
        <v>470</v>
      </c>
      <c r="QCJ335" s="301" t="s">
        <v>470</v>
      </c>
      <c r="QCK335" s="301" t="s">
        <v>470</v>
      </c>
      <c r="QCL335" s="301" t="s">
        <v>470</v>
      </c>
      <c r="QCM335" s="301" t="s">
        <v>470</v>
      </c>
      <c r="QCN335" s="301" t="s">
        <v>470</v>
      </c>
      <c r="QCO335" s="301" t="s">
        <v>470</v>
      </c>
      <c r="QCP335" s="301" t="s">
        <v>470</v>
      </c>
      <c r="QCQ335" s="301" t="s">
        <v>470</v>
      </c>
      <c r="QCR335" s="301" t="s">
        <v>470</v>
      </c>
      <c r="QCS335" s="301" t="s">
        <v>470</v>
      </c>
      <c r="QCT335" s="301" t="s">
        <v>470</v>
      </c>
      <c r="QCU335" s="301" t="s">
        <v>470</v>
      </c>
      <c r="QCV335" s="301" t="s">
        <v>470</v>
      </c>
      <c r="QCW335" s="301" t="s">
        <v>470</v>
      </c>
      <c r="QCX335" s="301" t="s">
        <v>470</v>
      </c>
      <c r="QCY335" s="301" t="s">
        <v>470</v>
      </c>
      <c r="QCZ335" s="301" t="s">
        <v>470</v>
      </c>
      <c r="QDA335" s="301" t="s">
        <v>470</v>
      </c>
      <c r="QDB335" s="301" t="s">
        <v>470</v>
      </c>
      <c r="QDC335" s="301" t="s">
        <v>470</v>
      </c>
      <c r="QDD335" s="301" t="s">
        <v>470</v>
      </c>
      <c r="QDE335" s="301" t="s">
        <v>470</v>
      </c>
      <c r="QDF335" s="301" t="s">
        <v>470</v>
      </c>
      <c r="QDG335" s="301" t="s">
        <v>470</v>
      </c>
      <c r="QDH335" s="301" t="s">
        <v>470</v>
      </c>
      <c r="QDI335" s="301" t="s">
        <v>470</v>
      </c>
      <c r="QDJ335" s="301" t="s">
        <v>470</v>
      </c>
      <c r="QDK335" s="301" t="s">
        <v>470</v>
      </c>
      <c r="QDL335" s="301" t="s">
        <v>470</v>
      </c>
      <c r="QDM335" s="301" t="s">
        <v>470</v>
      </c>
      <c r="QDN335" s="301" t="s">
        <v>470</v>
      </c>
      <c r="QDO335" s="301" t="s">
        <v>470</v>
      </c>
      <c r="QDP335" s="301" t="s">
        <v>470</v>
      </c>
      <c r="QDQ335" s="301" t="s">
        <v>470</v>
      </c>
      <c r="QDR335" s="301" t="s">
        <v>470</v>
      </c>
      <c r="QDS335" s="301" t="s">
        <v>470</v>
      </c>
      <c r="QDT335" s="301" t="s">
        <v>470</v>
      </c>
      <c r="QDU335" s="301" t="s">
        <v>470</v>
      </c>
      <c r="QDV335" s="301" t="s">
        <v>470</v>
      </c>
      <c r="QDW335" s="301" t="s">
        <v>470</v>
      </c>
      <c r="QDX335" s="301" t="s">
        <v>470</v>
      </c>
      <c r="QDY335" s="301" t="s">
        <v>470</v>
      </c>
      <c r="QDZ335" s="301" t="s">
        <v>470</v>
      </c>
      <c r="QEA335" s="301" t="s">
        <v>470</v>
      </c>
      <c r="QEB335" s="301" t="s">
        <v>470</v>
      </c>
      <c r="QEC335" s="301" t="s">
        <v>470</v>
      </c>
      <c r="QED335" s="301" t="s">
        <v>470</v>
      </c>
      <c r="QEE335" s="301" t="s">
        <v>470</v>
      </c>
      <c r="QEF335" s="301" t="s">
        <v>470</v>
      </c>
      <c r="QEG335" s="301" t="s">
        <v>470</v>
      </c>
      <c r="QEH335" s="301" t="s">
        <v>470</v>
      </c>
      <c r="QEI335" s="301" t="s">
        <v>470</v>
      </c>
      <c r="QEJ335" s="301" t="s">
        <v>470</v>
      </c>
      <c r="QEK335" s="301" t="s">
        <v>470</v>
      </c>
      <c r="QEL335" s="301" t="s">
        <v>470</v>
      </c>
      <c r="QEM335" s="301" t="s">
        <v>470</v>
      </c>
      <c r="QEN335" s="301" t="s">
        <v>470</v>
      </c>
      <c r="QEO335" s="301" t="s">
        <v>470</v>
      </c>
      <c r="QEP335" s="301" t="s">
        <v>470</v>
      </c>
      <c r="QEQ335" s="301" t="s">
        <v>470</v>
      </c>
      <c r="QER335" s="301" t="s">
        <v>470</v>
      </c>
      <c r="QES335" s="301" t="s">
        <v>470</v>
      </c>
      <c r="QET335" s="301" t="s">
        <v>470</v>
      </c>
      <c r="QEU335" s="301" t="s">
        <v>470</v>
      </c>
      <c r="QEV335" s="301" t="s">
        <v>470</v>
      </c>
      <c r="QEW335" s="301" t="s">
        <v>470</v>
      </c>
      <c r="QEX335" s="301" t="s">
        <v>470</v>
      </c>
      <c r="QEY335" s="301" t="s">
        <v>470</v>
      </c>
      <c r="QEZ335" s="301" t="s">
        <v>470</v>
      </c>
      <c r="QFA335" s="301" t="s">
        <v>470</v>
      </c>
      <c r="QFB335" s="301" t="s">
        <v>470</v>
      </c>
      <c r="QFC335" s="301" t="s">
        <v>470</v>
      </c>
      <c r="QFD335" s="301" t="s">
        <v>470</v>
      </c>
      <c r="QFE335" s="301" t="s">
        <v>470</v>
      </c>
      <c r="QFF335" s="301" t="s">
        <v>470</v>
      </c>
      <c r="QFG335" s="301" t="s">
        <v>470</v>
      </c>
      <c r="QFH335" s="301" t="s">
        <v>470</v>
      </c>
      <c r="QFI335" s="301" t="s">
        <v>470</v>
      </c>
      <c r="QFJ335" s="301" t="s">
        <v>470</v>
      </c>
      <c r="QFK335" s="301" t="s">
        <v>470</v>
      </c>
      <c r="QFL335" s="301" t="s">
        <v>470</v>
      </c>
      <c r="QFM335" s="301" t="s">
        <v>470</v>
      </c>
      <c r="QFN335" s="301" t="s">
        <v>470</v>
      </c>
      <c r="QFO335" s="301" t="s">
        <v>470</v>
      </c>
      <c r="QFP335" s="301" t="s">
        <v>470</v>
      </c>
      <c r="QFQ335" s="301" t="s">
        <v>470</v>
      </c>
      <c r="QFR335" s="301" t="s">
        <v>470</v>
      </c>
      <c r="QFS335" s="301" t="s">
        <v>470</v>
      </c>
      <c r="QFT335" s="301" t="s">
        <v>470</v>
      </c>
      <c r="QFU335" s="301" t="s">
        <v>470</v>
      </c>
      <c r="QFV335" s="301" t="s">
        <v>470</v>
      </c>
      <c r="QFW335" s="301" t="s">
        <v>470</v>
      </c>
      <c r="QFX335" s="301" t="s">
        <v>470</v>
      </c>
      <c r="QFY335" s="301" t="s">
        <v>470</v>
      </c>
      <c r="QFZ335" s="301" t="s">
        <v>470</v>
      </c>
      <c r="QGA335" s="301" t="s">
        <v>470</v>
      </c>
      <c r="QGB335" s="301" t="s">
        <v>470</v>
      </c>
      <c r="QGC335" s="301" t="s">
        <v>470</v>
      </c>
      <c r="QGD335" s="301" t="s">
        <v>470</v>
      </c>
      <c r="QGE335" s="301" t="s">
        <v>470</v>
      </c>
      <c r="QGF335" s="301" t="s">
        <v>470</v>
      </c>
      <c r="QGG335" s="301" t="s">
        <v>470</v>
      </c>
      <c r="QGH335" s="301" t="s">
        <v>470</v>
      </c>
      <c r="QGI335" s="301" t="s">
        <v>470</v>
      </c>
      <c r="QGJ335" s="301" t="s">
        <v>470</v>
      </c>
      <c r="QGK335" s="301" t="s">
        <v>470</v>
      </c>
      <c r="QGL335" s="301" t="s">
        <v>470</v>
      </c>
      <c r="QGM335" s="301" t="s">
        <v>470</v>
      </c>
      <c r="QGN335" s="301" t="s">
        <v>470</v>
      </c>
      <c r="QGO335" s="301" t="s">
        <v>470</v>
      </c>
      <c r="QGP335" s="301" t="s">
        <v>470</v>
      </c>
      <c r="QGQ335" s="301" t="s">
        <v>470</v>
      </c>
      <c r="QGR335" s="301" t="s">
        <v>470</v>
      </c>
      <c r="QGS335" s="301" t="s">
        <v>470</v>
      </c>
      <c r="QGT335" s="301" t="s">
        <v>470</v>
      </c>
      <c r="QGU335" s="301" t="s">
        <v>470</v>
      </c>
      <c r="QGV335" s="301" t="s">
        <v>470</v>
      </c>
      <c r="QGW335" s="301" t="s">
        <v>470</v>
      </c>
      <c r="QGX335" s="301" t="s">
        <v>470</v>
      </c>
      <c r="QGY335" s="301" t="s">
        <v>470</v>
      </c>
      <c r="QGZ335" s="301" t="s">
        <v>470</v>
      </c>
      <c r="QHA335" s="301" t="s">
        <v>470</v>
      </c>
      <c r="QHB335" s="301" t="s">
        <v>470</v>
      </c>
      <c r="QHC335" s="301" t="s">
        <v>470</v>
      </c>
      <c r="QHD335" s="301" t="s">
        <v>470</v>
      </c>
      <c r="QHE335" s="301" t="s">
        <v>470</v>
      </c>
      <c r="QHF335" s="301" t="s">
        <v>470</v>
      </c>
      <c r="QHG335" s="301" t="s">
        <v>470</v>
      </c>
      <c r="QHH335" s="301" t="s">
        <v>470</v>
      </c>
      <c r="QHI335" s="301" t="s">
        <v>470</v>
      </c>
      <c r="QHJ335" s="301" t="s">
        <v>470</v>
      </c>
      <c r="QHK335" s="301" t="s">
        <v>470</v>
      </c>
      <c r="QHL335" s="301" t="s">
        <v>470</v>
      </c>
      <c r="QHM335" s="301" t="s">
        <v>470</v>
      </c>
      <c r="QHN335" s="301" t="s">
        <v>470</v>
      </c>
      <c r="QHO335" s="301" t="s">
        <v>470</v>
      </c>
      <c r="QHP335" s="301" t="s">
        <v>470</v>
      </c>
      <c r="QHQ335" s="301" t="s">
        <v>470</v>
      </c>
      <c r="QHR335" s="301" t="s">
        <v>470</v>
      </c>
      <c r="QHS335" s="301" t="s">
        <v>470</v>
      </c>
      <c r="QHT335" s="301" t="s">
        <v>470</v>
      </c>
      <c r="QHU335" s="301" t="s">
        <v>470</v>
      </c>
      <c r="QHV335" s="301" t="s">
        <v>470</v>
      </c>
      <c r="QHW335" s="301" t="s">
        <v>470</v>
      </c>
      <c r="QHX335" s="301" t="s">
        <v>470</v>
      </c>
      <c r="QHY335" s="301" t="s">
        <v>470</v>
      </c>
      <c r="QHZ335" s="301" t="s">
        <v>470</v>
      </c>
      <c r="QIA335" s="301" t="s">
        <v>470</v>
      </c>
      <c r="QIB335" s="301" t="s">
        <v>470</v>
      </c>
      <c r="QIC335" s="301" t="s">
        <v>470</v>
      </c>
      <c r="QID335" s="301" t="s">
        <v>470</v>
      </c>
      <c r="QIE335" s="301" t="s">
        <v>470</v>
      </c>
      <c r="QIF335" s="301" t="s">
        <v>470</v>
      </c>
      <c r="QIG335" s="301" t="s">
        <v>470</v>
      </c>
      <c r="QIH335" s="301" t="s">
        <v>470</v>
      </c>
      <c r="QII335" s="301" t="s">
        <v>470</v>
      </c>
      <c r="QIJ335" s="301" t="s">
        <v>470</v>
      </c>
      <c r="QIK335" s="301" t="s">
        <v>470</v>
      </c>
      <c r="QIL335" s="301" t="s">
        <v>470</v>
      </c>
      <c r="QIM335" s="301" t="s">
        <v>470</v>
      </c>
      <c r="QIN335" s="301" t="s">
        <v>470</v>
      </c>
      <c r="QIO335" s="301" t="s">
        <v>470</v>
      </c>
      <c r="QIP335" s="301" t="s">
        <v>470</v>
      </c>
      <c r="QIQ335" s="301" t="s">
        <v>470</v>
      </c>
      <c r="QIR335" s="301" t="s">
        <v>470</v>
      </c>
      <c r="QIS335" s="301" t="s">
        <v>470</v>
      </c>
      <c r="QIT335" s="301" t="s">
        <v>470</v>
      </c>
      <c r="QIU335" s="301" t="s">
        <v>470</v>
      </c>
      <c r="QIV335" s="301" t="s">
        <v>470</v>
      </c>
      <c r="QIW335" s="301" t="s">
        <v>470</v>
      </c>
      <c r="QIX335" s="301" t="s">
        <v>470</v>
      </c>
      <c r="QIY335" s="301" t="s">
        <v>470</v>
      </c>
      <c r="QIZ335" s="301" t="s">
        <v>470</v>
      </c>
      <c r="QJA335" s="301" t="s">
        <v>470</v>
      </c>
      <c r="QJB335" s="301" t="s">
        <v>470</v>
      </c>
      <c r="QJC335" s="301" t="s">
        <v>470</v>
      </c>
      <c r="QJD335" s="301" t="s">
        <v>470</v>
      </c>
      <c r="QJE335" s="301" t="s">
        <v>470</v>
      </c>
      <c r="QJF335" s="301" t="s">
        <v>470</v>
      </c>
      <c r="QJG335" s="301" t="s">
        <v>470</v>
      </c>
      <c r="QJH335" s="301" t="s">
        <v>470</v>
      </c>
      <c r="QJI335" s="301" t="s">
        <v>470</v>
      </c>
      <c r="QJJ335" s="301" t="s">
        <v>470</v>
      </c>
      <c r="QJK335" s="301" t="s">
        <v>470</v>
      </c>
      <c r="QJL335" s="301" t="s">
        <v>470</v>
      </c>
      <c r="QJM335" s="301" t="s">
        <v>470</v>
      </c>
      <c r="QJN335" s="301" t="s">
        <v>470</v>
      </c>
      <c r="QJO335" s="301" t="s">
        <v>470</v>
      </c>
      <c r="QJP335" s="301" t="s">
        <v>470</v>
      </c>
      <c r="QJQ335" s="301" t="s">
        <v>470</v>
      </c>
      <c r="QJR335" s="301" t="s">
        <v>470</v>
      </c>
      <c r="QJS335" s="301" t="s">
        <v>470</v>
      </c>
      <c r="QJT335" s="301" t="s">
        <v>470</v>
      </c>
      <c r="QJU335" s="301" t="s">
        <v>470</v>
      </c>
      <c r="QJV335" s="301" t="s">
        <v>470</v>
      </c>
      <c r="QJW335" s="301" t="s">
        <v>470</v>
      </c>
      <c r="QJX335" s="301" t="s">
        <v>470</v>
      </c>
      <c r="QJY335" s="301" t="s">
        <v>470</v>
      </c>
      <c r="QJZ335" s="301" t="s">
        <v>470</v>
      </c>
      <c r="QKA335" s="301" t="s">
        <v>470</v>
      </c>
      <c r="QKB335" s="301" t="s">
        <v>470</v>
      </c>
      <c r="QKC335" s="301" t="s">
        <v>470</v>
      </c>
      <c r="QKD335" s="301" t="s">
        <v>470</v>
      </c>
      <c r="QKE335" s="301" t="s">
        <v>470</v>
      </c>
      <c r="QKF335" s="301" t="s">
        <v>470</v>
      </c>
      <c r="QKG335" s="301" t="s">
        <v>470</v>
      </c>
      <c r="QKH335" s="301" t="s">
        <v>470</v>
      </c>
      <c r="QKI335" s="301" t="s">
        <v>470</v>
      </c>
      <c r="QKJ335" s="301" t="s">
        <v>470</v>
      </c>
      <c r="QKK335" s="301" t="s">
        <v>470</v>
      </c>
      <c r="QKL335" s="301" t="s">
        <v>470</v>
      </c>
      <c r="QKM335" s="301" t="s">
        <v>470</v>
      </c>
      <c r="QKN335" s="301" t="s">
        <v>470</v>
      </c>
      <c r="QKO335" s="301" t="s">
        <v>470</v>
      </c>
      <c r="QKP335" s="301" t="s">
        <v>470</v>
      </c>
      <c r="QKQ335" s="301" t="s">
        <v>470</v>
      </c>
      <c r="QKR335" s="301" t="s">
        <v>470</v>
      </c>
      <c r="QKS335" s="301" t="s">
        <v>470</v>
      </c>
      <c r="QKT335" s="301" t="s">
        <v>470</v>
      </c>
      <c r="QKU335" s="301" t="s">
        <v>470</v>
      </c>
      <c r="QKV335" s="301" t="s">
        <v>470</v>
      </c>
      <c r="QKW335" s="301" t="s">
        <v>470</v>
      </c>
      <c r="QKX335" s="301" t="s">
        <v>470</v>
      </c>
      <c r="QKY335" s="301" t="s">
        <v>470</v>
      </c>
      <c r="QKZ335" s="301" t="s">
        <v>470</v>
      </c>
      <c r="QLA335" s="301" t="s">
        <v>470</v>
      </c>
      <c r="QLB335" s="301" t="s">
        <v>470</v>
      </c>
      <c r="QLC335" s="301" t="s">
        <v>470</v>
      </c>
      <c r="QLD335" s="301" t="s">
        <v>470</v>
      </c>
      <c r="QLE335" s="301" t="s">
        <v>470</v>
      </c>
      <c r="QLF335" s="301" t="s">
        <v>470</v>
      </c>
      <c r="QLG335" s="301" t="s">
        <v>470</v>
      </c>
      <c r="QLH335" s="301" t="s">
        <v>470</v>
      </c>
      <c r="QLI335" s="301" t="s">
        <v>470</v>
      </c>
      <c r="QLJ335" s="301" t="s">
        <v>470</v>
      </c>
      <c r="QLK335" s="301" t="s">
        <v>470</v>
      </c>
      <c r="QLL335" s="301" t="s">
        <v>470</v>
      </c>
      <c r="QLM335" s="301" t="s">
        <v>470</v>
      </c>
      <c r="QLN335" s="301" t="s">
        <v>470</v>
      </c>
      <c r="QLO335" s="301" t="s">
        <v>470</v>
      </c>
      <c r="QLP335" s="301" t="s">
        <v>470</v>
      </c>
      <c r="QLQ335" s="301" t="s">
        <v>470</v>
      </c>
      <c r="QLR335" s="301" t="s">
        <v>470</v>
      </c>
      <c r="QLS335" s="301" t="s">
        <v>470</v>
      </c>
      <c r="QLT335" s="301" t="s">
        <v>470</v>
      </c>
      <c r="QLU335" s="301" t="s">
        <v>470</v>
      </c>
      <c r="QLV335" s="301" t="s">
        <v>470</v>
      </c>
      <c r="QLW335" s="301" t="s">
        <v>470</v>
      </c>
      <c r="QLX335" s="301" t="s">
        <v>470</v>
      </c>
      <c r="QLY335" s="301" t="s">
        <v>470</v>
      </c>
      <c r="QLZ335" s="301" t="s">
        <v>470</v>
      </c>
      <c r="QMA335" s="301" t="s">
        <v>470</v>
      </c>
      <c r="QMB335" s="301" t="s">
        <v>470</v>
      </c>
      <c r="QMC335" s="301" t="s">
        <v>470</v>
      </c>
      <c r="QMD335" s="301" t="s">
        <v>470</v>
      </c>
      <c r="QME335" s="301" t="s">
        <v>470</v>
      </c>
      <c r="QMF335" s="301" t="s">
        <v>470</v>
      </c>
      <c r="QMG335" s="301" t="s">
        <v>470</v>
      </c>
      <c r="QMH335" s="301" t="s">
        <v>470</v>
      </c>
      <c r="QMI335" s="301" t="s">
        <v>470</v>
      </c>
      <c r="QMJ335" s="301" t="s">
        <v>470</v>
      </c>
      <c r="QMK335" s="301" t="s">
        <v>470</v>
      </c>
      <c r="QML335" s="301" t="s">
        <v>470</v>
      </c>
      <c r="QMM335" s="301" t="s">
        <v>470</v>
      </c>
      <c r="QMN335" s="301" t="s">
        <v>470</v>
      </c>
      <c r="QMO335" s="301" t="s">
        <v>470</v>
      </c>
      <c r="QMP335" s="301" t="s">
        <v>470</v>
      </c>
      <c r="QMQ335" s="301" t="s">
        <v>470</v>
      </c>
      <c r="QMR335" s="301" t="s">
        <v>470</v>
      </c>
      <c r="QMS335" s="301" t="s">
        <v>470</v>
      </c>
      <c r="QMT335" s="301" t="s">
        <v>470</v>
      </c>
      <c r="QMU335" s="301" t="s">
        <v>470</v>
      </c>
      <c r="QMV335" s="301" t="s">
        <v>470</v>
      </c>
      <c r="QMW335" s="301" t="s">
        <v>470</v>
      </c>
      <c r="QMX335" s="301" t="s">
        <v>470</v>
      </c>
      <c r="QMY335" s="301" t="s">
        <v>470</v>
      </c>
      <c r="QMZ335" s="301" t="s">
        <v>470</v>
      </c>
      <c r="QNA335" s="301" t="s">
        <v>470</v>
      </c>
      <c r="QNB335" s="301" t="s">
        <v>470</v>
      </c>
      <c r="QNC335" s="301" t="s">
        <v>470</v>
      </c>
      <c r="QND335" s="301" t="s">
        <v>470</v>
      </c>
      <c r="QNE335" s="301" t="s">
        <v>470</v>
      </c>
      <c r="QNF335" s="301" t="s">
        <v>470</v>
      </c>
      <c r="QNG335" s="301" t="s">
        <v>470</v>
      </c>
      <c r="QNH335" s="301" t="s">
        <v>470</v>
      </c>
      <c r="QNI335" s="301" t="s">
        <v>470</v>
      </c>
      <c r="QNJ335" s="301" t="s">
        <v>470</v>
      </c>
      <c r="QNK335" s="301" t="s">
        <v>470</v>
      </c>
      <c r="QNL335" s="301" t="s">
        <v>470</v>
      </c>
      <c r="QNM335" s="301" t="s">
        <v>470</v>
      </c>
      <c r="QNN335" s="301" t="s">
        <v>470</v>
      </c>
      <c r="QNO335" s="301" t="s">
        <v>470</v>
      </c>
      <c r="QNP335" s="301" t="s">
        <v>470</v>
      </c>
      <c r="QNQ335" s="301" t="s">
        <v>470</v>
      </c>
      <c r="QNR335" s="301" t="s">
        <v>470</v>
      </c>
      <c r="QNS335" s="301" t="s">
        <v>470</v>
      </c>
      <c r="QNT335" s="301" t="s">
        <v>470</v>
      </c>
      <c r="QNU335" s="301" t="s">
        <v>470</v>
      </c>
      <c r="QNV335" s="301" t="s">
        <v>470</v>
      </c>
      <c r="QNW335" s="301" t="s">
        <v>470</v>
      </c>
      <c r="QNX335" s="301" t="s">
        <v>470</v>
      </c>
      <c r="QNY335" s="301" t="s">
        <v>470</v>
      </c>
      <c r="QNZ335" s="301" t="s">
        <v>470</v>
      </c>
      <c r="QOA335" s="301" t="s">
        <v>470</v>
      </c>
      <c r="QOB335" s="301" t="s">
        <v>470</v>
      </c>
      <c r="QOC335" s="301" t="s">
        <v>470</v>
      </c>
      <c r="QOD335" s="301" t="s">
        <v>470</v>
      </c>
      <c r="QOE335" s="301" t="s">
        <v>470</v>
      </c>
      <c r="QOF335" s="301" t="s">
        <v>470</v>
      </c>
      <c r="QOG335" s="301" t="s">
        <v>470</v>
      </c>
      <c r="QOH335" s="301" t="s">
        <v>470</v>
      </c>
      <c r="QOI335" s="301" t="s">
        <v>470</v>
      </c>
      <c r="QOJ335" s="301" t="s">
        <v>470</v>
      </c>
      <c r="QOK335" s="301" t="s">
        <v>470</v>
      </c>
      <c r="QOL335" s="301" t="s">
        <v>470</v>
      </c>
      <c r="QOM335" s="301" t="s">
        <v>470</v>
      </c>
      <c r="QON335" s="301" t="s">
        <v>470</v>
      </c>
      <c r="QOO335" s="301" t="s">
        <v>470</v>
      </c>
      <c r="QOP335" s="301" t="s">
        <v>470</v>
      </c>
      <c r="QOQ335" s="301" t="s">
        <v>470</v>
      </c>
      <c r="QOR335" s="301" t="s">
        <v>470</v>
      </c>
      <c r="QOS335" s="301" t="s">
        <v>470</v>
      </c>
      <c r="QOT335" s="301" t="s">
        <v>470</v>
      </c>
      <c r="QOU335" s="301" t="s">
        <v>470</v>
      </c>
      <c r="QOV335" s="301" t="s">
        <v>470</v>
      </c>
      <c r="QOW335" s="301" t="s">
        <v>470</v>
      </c>
      <c r="QOX335" s="301" t="s">
        <v>470</v>
      </c>
      <c r="QOY335" s="301" t="s">
        <v>470</v>
      </c>
      <c r="QOZ335" s="301" t="s">
        <v>470</v>
      </c>
      <c r="QPA335" s="301" t="s">
        <v>470</v>
      </c>
      <c r="QPB335" s="301" t="s">
        <v>470</v>
      </c>
      <c r="QPC335" s="301" t="s">
        <v>470</v>
      </c>
      <c r="QPD335" s="301" t="s">
        <v>470</v>
      </c>
      <c r="QPE335" s="301" t="s">
        <v>470</v>
      </c>
      <c r="QPF335" s="301" t="s">
        <v>470</v>
      </c>
      <c r="QPG335" s="301" t="s">
        <v>470</v>
      </c>
      <c r="QPH335" s="301" t="s">
        <v>470</v>
      </c>
      <c r="QPI335" s="301" t="s">
        <v>470</v>
      </c>
      <c r="QPJ335" s="301" t="s">
        <v>470</v>
      </c>
      <c r="QPK335" s="301" t="s">
        <v>470</v>
      </c>
      <c r="QPL335" s="301" t="s">
        <v>470</v>
      </c>
      <c r="QPM335" s="301" t="s">
        <v>470</v>
      </c>
      <c r="QPN335" s="301" t="s">
        <v>470</v>
      </c>
      <c r="QPO335" s="301" t="s">
        <v>470</v>
      </c>
      <c r="QPP335" s="301" t="s">
        <v>470</v>
      </c>
      <c r="QPQ335" s="301" t="s">
        <v>470</v>
      </c>
      <c r="QPR335" s="301" t="s">
        <v>470</v>
      </c>
      <c r="QPS335" s="301" t="s">
        <v>470</v>
      </c>
      <c r="QPT335" s="301" t="s">
        <v>470</v>
      </c>
      <c r="QPU335" s="301" t="s">
        <v>470</v>
      </c>
      <c r="QPV335" s="301" t="s">
        <v>470</v>
      </c>
      <c r="QPW335" s="301" t="s">
        <v>470</v>
      </c>
      <c r="QPX335" s="301" t="s">
        <v>470</v>
      </c>
      <c r="QPY335" s="301" t="s">
        <v>470</v>
      </c>
      <c r="QPZ335" s="301" t="s">
        <v>470</v>
      </c>
      <c r="QQA335" s="301" t="s">
        <v>470</v>
      </c>
      <c r="QQB335" s="301" t="s">
        <v>470</v>
      </c>
      <c r="QQC335" s="301" t="s">
        <v>470</v>
      </c>
      <c r="QQD335" s="301" t="s">
        <v>470</v>
      </c>
      <c r="QQE335" s="301" t="s">
        <v>470</v>
      </c>
      <c r="QQF335" s="301" t="s">
        <v>470</v>
      </c>
      <c r="QQG335" s="301" t="s">
        <v>470</v>
      </c>
      <c r="QQH335" s="301" t="s">
        <v>470</v>
      </c>
      <c r="QQI335" s="301" t="s">
        <v>470</v>
      </c>
      <c r="QQJ335" s="301" t="s">
        <v>470</v>
      </c>
      <c r="QQK335" s="301" t="s">
        <v>470</v>
      </c>
      <c r="QQL335" s="301" t="s">
        <v>470</v>
      </c>
      <c r="QQM335" s="301" t="s">
        <v>470</v>
      </c>
      <c r="QQN335" s="301" t="s">
        <v>470</v>
      </c>
      <c r="QQO335" s="301" t="s">
        <v>470</v>
      </c>
      <c r="QQP335" s="301" t="s">
        <v>470</v>
      </c>
      <c r="QQQ335" s="301" t="s">
        <v>470</v>
      </c>
      <c r="QQR335" s="301" t="s">
        <v>470</v>
      </c>
      <c r="QQS335" s="301" t="s">
        <v>470</v>
      </c>
      <c r="QQT335" s="301" t="s">
        <v>470</v>
      </c>
      <c r="QQU335" s="301" t="s">
        <v>470</v>
      </c>
      <c r="QQV335" s="301" t="s">
        <v>470</v>
      </c>
      <c r="QQW335" s="301" t="s">
        <v>470</v>
      </c>
      <c r="QQX335" s="301" t="s">
        <v>470</v>
      </c>
      <c r="QQY335" s="301" t="s">
        <v>470</v>
      </c>
      <c r="QQZ335" s="301" t="s">
        <v>470</v>
      </c>
      <c r="QRA335" s="301" t="s">
        <v>470</v>
      </c>
      <c r="QRB335" s="301" t="s">
        <v>470</v>
      </c>
      <c r="QRC335" s="301" t="s">
        <v>470</v>
      </c>
      <c r="QRD335" s="301" t="s">
        <v>470</v>
      </c>
      <c r="QRE335" s="301" t="s">
        <v>470</v>
      </c>
      <c r="QRF335" s="301" t="s">
        <v>470</v>
      </c>
      <c r="QRG335" s="301" t="s">
        <v>470</v>
      </c>
      <c r="QRH335" s="301" t="s">
        <v>470</v>
      </c>
      <c r="QRI335" s="301" t="s">
        <v>470</v>
      </c>
      <c r="QRJ335" s="301" t="s">
        <v>470</v>
      </c>
      <c r="QRK335" s="301" t="s">
        <v>470</v>
      </c>
      <c r="QRL335" s="301" t="s">
        <v>470</v>
      </c>
      <c r="QRM335" s="301" t="s">
        <v>470</v>
      </c>
      <c r="QRN335" s="301" t="s">
        <v>470</v>
      </c>
      <c r="QRO335" s="301" t="s">
        <v>470</v>
      </c>
      <c r="QRP335" s="301" t="s">
        <v>470</v>
      </c>
      <c r="QRQ335" s="301" t="s">
        <v>470</v>
      </c>
      <c r="QRR335" s="301" t="s">
        <v>470</v>
      </c>
      <c r="QRS335" s="301" t="s">
        <v>470</v>
      </c>
      <c r="QRT335" s="301" t="s">
        <v>470</v>
      </c>
      <c r="QRU335" s="301" t="s">
        <v>470</v>
      </c>
      <c r="QRV335" s="301" t="s">
        <v>470</v>
      </c>
      <c r="QRW335" s="301" t="s">
        <v>470</v>
      </c>
      <c r="QRX335" s="301" t="s">
        <v>470</v>
      </c>
      <c r="QRY335" s="301" t="s">
        <v>470</v>
      </c>
      <c r="QRZ335" s="301" t="s">
        <v>470</v>
      </c>
      <c r="QSA335" s="301" t="s">
        <v>470</v>
      </c>
      <c r="QSB335" s="301" t="s">
        <v>470</v>
      </c>
      <c r="QSC335" s="301" t="s">
        <v>470</v>
      </c>
      <c r="QSD335" s="301" t="s">
        <v>470</v>
      </c>
      <c r="QSE335" s="301" t="s">
        <v>470</v>
      </c>
      <c r="QSF335" s="301" t="s">
        <v>470</v>
      </c>
      <c r="QSG335" s="301" t="s">
        <v>470</v>
      </c>
      <c r="QSH335" s="301" t="s">
        <v>470</v>
      </c>
      <c r="QSI335" s="301" t="s">
        <v>470</v>
      </c>
      <c r="QSJ335" s="301" t="s">
        <v>470</v>
      </c>
      <c r="QSK335" s="301" t="s">
        <v>470</v>
      </c>
      <c r="QSL335" s="301" t="s">
        <v>470</v>
      </c>
      <c r="QSM335" s="301" t="s">
        <v>470</v>
      </c>
      <c r="QSN335" s="301" t="s">
        <v>470</v>
      </c>
      <c r="QSO335" s="301" t="s">
        <v>470</v>
      </c>
      <c r="QSP335" s="301" t="s">
        <v>470</v>
      </c>
      <c r="QSQ335" s="301" t="s">
        <v>470</v>
      </c>
      <c r="QSR335" s="301" t="s">
        <v>470</v>
      </c>
      <c r="QSS335" s="301" t="s">
        <v>470</v>
      </c>
      <c r="QST335" s="301" t="s">
        <v>470</v>
      </c>
      <c r="QSU335" s="301" t="s">
        <v>470</v>
      </c>
      <c r="QSV335" s="301" t="s">
        <v>470</v>
      </c>
      <c r="QSW335" s="301" t="s">
        <v>470</v>
      </c>
      <c r="QSX335" s="301" t="s">
        <v>470</v>
      </c>
      <c r="QSY335" s="301" t="s">
        <v>470</v>
      </c>
      <c r="QSZ335" s="301" t="s">
        <v>470</v>
      </c>
      <c r="QTA335" s="301" t="s">
        <v>470</v>
      </c>
      <c r="QTB335" s="301" t="s">
        <v>470</v>
      </c>
      <c r="QTC335" s="301" t="s">
        <v>470</v>
      </c>
      <c r="QTD335" s="301" t="s">
        <v>470</v>
      </c>
      <c r="QTE335" s="301" t="s">
        <v>470</v>
      </c>
      <c r="QTF335" s="301" t="s">
        <v>470</v>
      </c>
      <c r="QTG335" s="301" t="s">
        <v>470</v>
      </c>
      <c r="QTH335" s="301" t="s">
        <v>470</v>
      </c>
      <c r="QTI335" s="301" t="s">
        <v>470</v>
      </c>
      <c r="QTJ335" s="301" t="s">
        <v>470</v>
      </c>
      <c r="QTK335" s="301" t="s">
        <v>470</v>
      </c>
      <c r="QTL335" s="301" t="s">
        <v>470</v>
      </c>
      <c r="QTM335" s="301" t="s">
        <v>470</v>
      </c>
      <c r="QTN335" s="301" t="s">
        <v>470</v>
      </c>
      <c r="QTO335" s="301" t="s">
        <v>470</v>
      </c>
      <c r="QTP335" s="301" t="s">
        <v>470</v>
      </c>
      <c r="QTQ335" s="301" t="s">
        <v>470</v>
      </c>
      <c r="QTR335" s="301" t="s">
        <v>470</v>
      </c>
      <c r="QTS335" s="301" t="s">
        <v>470</v>
      </c>
      <c r="QTT335" s="301" t="s">
        <v>470</v>
      </c>
      <c r="QTU335" s="301" t="s">
        <v>470</v>
      </c>
      <c r="QTV335" s="301" t="s">
        <v>470</v>
      </c>
      <c r="QTW335" s="301" t="s">
        <v>470</v>
      </c>
      <c r="QTX335" s="301" t="s">
        <v>470</v>
      </c>
      <c r="QTY335" s="301" t="s">
        <v>470</v>
      </c>
      <c r="QTZ335" s="301" t="s">
        <v>470</v>
      </c>
      <c r="QUA335" s="301" t="s">
        <v>470</v>
      </c>
      <c r="QUB335" s="301" t="s">
        <v>470</v>
      </c>
      <c r="QUC335" s="301" t="s">
        <v>470</v>
      </c>
      <c r="QUD335" s="301" t="s">
        <v>470</v>
      </c>
      <c r="QUE335" s="301" t="s">
        <v>470</v>
      </c>
      <c r="QUF335" s="301" t="s">
        <v>470</v>
      </c>
      <c r="QUG335" s="301" t="s">
        <v>470</v>
      </c>
      <c r="QUH335" s="301" t="s">
        <v>470</v>
      </c>
      <c r="QUI335" s="301" t="s">
        <v>470</v>
      </c>
      <c r="QUJ335" s="301" t="s">
        <v>470</v>
      </c>
      <c r="QUK335" s="301" t="s">
        <v>470</v>
      </c>
      <c r="QUL335" s="301" t="s">
        <v>470</v>
      </c>
      <c r="QUM335" s="301" t="s">
        <v>470</v>
      </c>
      <c r="QUN335" s="301" t="s">
        <v>470</v>
      </c>
      <c r="QUO335" s="301" t="s">
        <v>470</v>
      </c>
      <c r="QUP335" s="301" t="s">
        <v>470</v>
      </c>
      <c r="QUQ335" s="301" t="s">
        <v>470</v>
      </c>
      <c r="QUR335" s="301" t="s">
        <v>470</v>
      </c>
      <c r="QUS335" s="301" t="s">
        <v>470</v>
      </c>
      <c r="QUT335" s="301" t="s">
        <v>470</v>
      </c>
      <c r="QUU335" s="301" t="s">
        <v>470</v>
      </c>
      <c r="QUV335" s="301" t="s">
        <v>470</v>
      </c>
      <c r="QUW335" s="301" t="s">
        <v>470</v>
      </c>
      <c r="QUX335" s="301" t="s">
        <v>470</v>
      </c>
      <c r="QUY335" s="301" t="s">
        <v>470</v>
      </c>
      <c r="QUZ335" s="301" t="s">
        <v>470</v>
      </c>
      <c r="QVA335" s="301" t="s">
        <v>470</v>
      </c>
      <c r="QVB335" s="301" t="s">
        <v>470</v>
      </c>
      <c r="QVC335" s="301" t="s">
        <v>470</v>
      </c>
      <c r="QVD335" s="301" t="s">
        <v>470</v>
      </c>
      <c r="QVE335" s="301" t="s">
        <v>470</v>
      </c>
      <c r="QVF335" s="301" t="s">
        <v>470</v>
      </c>
      <c r="QVG335" s="301" t="s">
        <v>470</v>
      </c>
      <c r="QVH335" s="301" t="s">
        <v>470</v>
      </c>
      <c r="QVI335" s="301" t="s">
        <v>470</v>
      </c>
      <c r="QVJ335" s="301" t="s">
        <v>470</v>
      </c>
      <c r="QVK335" s="301" t="s">
        <v>470</v>
      </c>
      <c r="QVL335" s="301" t="s">
        <v>470</v>
      </c>
      <c r="QVM335" s="301" t="s">
        <v>470</v>
      </c>
      <c r="QVN335" s="301" t="s">
        <v>470</v>
      </c>
      <c r="QVO335" s="301" t="s">
        <v>470</v>
      </c>
      <c r="QVP335" s="301" t="s">
        <v>470</v>
      </c>
      <c r="QVQ335" s="301" t="s">
        <v>470</v>
      </c>
      <c r="QVR335" s="301" t="s">
        <v>470</v>
      </c>
      <c r="QVS335" s="301" t="s">
        <v>470</v>
      </c>
      <c r="QVT335" s="301" t="s">
        <v>470</v>
      </c>
      <c r="QVU335" s="301" t="s">
        <v>470</v>
      </c>
      <c r="QVV335" s="301" t="s">
        <v>470</v>
      </c>
      <c r="QVW335" s="301" t="s">
        <v>470</v>
      </c>
      <c r="QVX335" s="301" t="s">
        <v>470</v>
      </c>
      <c r="QVY335" s="301" t="s">
        <v>470</v>
      </c>
      <c r="QVZ335" s="301" t="s">
        <v>470</v>
      </c>
      <c r="QWA335" s="301" t="s">
        <v>470</v>
      </c>
      <c r="QWB335" s="301" t="s">
        <v>470</v>
      </c>
      <c r="QWC335" s="301" t="s">
        <v>470</v>
      </c>
      <c r="QWD335" s="301" t="s">
        <v>470</v>
      </c>
      <c r="QWE335" s="301" t="s">
        <v>470</v>
      </c>
      <c r="QWF335" s="301" t="s">
        <v>470</v>
      </c>
      <c r="QWG335" s="301" t="s">
        <v>470</v>
      </c>
      <c r="QWH335" s="301" t="s">
        <v>470</v>
      </c>
      <c r="QWI335" s="301" t="s">
        <v>470</v>
      </c>
      <c r="QWJ335" s="301" t="s">
        <v>470</v>
      </c>
      <c r="QWK335" s="301" t="s">
        <v>470</v>
      </c>
      <c r="QWL335" s="301" t="s">
        <v>470</v>
      </c>
      <c r="QWM335" s="301" t="s">
        <v>470</v>
      </c>
      <c r="QWN335" s="301" t="s">
        <v>470</v>
      </c>
      <c r="QWO335" s="301" t="s">
        <v>470</v>
      </c>
      <c r="QWP335" s="301" t="s">
        <v>470</v>
      </c>
      <c r="QWQ335" s="301" t="s">
        <v>470</v>
      </c>
      <c r="QWR335" s="301" t="s">
        <v>470</v>
      </c>
      <c r="QWS335" s="301" t="s">
        <v>470</v>
      </c>
      <c r="QWT335" s="301" t="s">
        <v>470</v>
      </c>
      <c r="QWU335" s="301" t="s">
        <v>470</v>
      </c>
      <c r="QWV335" s="301" t="s">
        <v>470</v>
      </c>
      <c r="QWW335" s="301" t="s">
        <v>470</v>
      </c>
      <c r="QWX335" s="301" t="s">
        <v>470</v>
      </c>
      <c r="QWY335" s="301" t="s">
        <v>470</v>
      </c>
      <c r="QWZ335" s="301" t="s">
        <v>470</v>
      </c>
      <c r="QXA335" s="301" t="s">
        <v>470</v>
      </c>
      <c r="QXB335" s="301" t="s">
        <v>470</v>
      </c>
      <c r="QXC335" s="301" t="s">
        <v>470</v>
      </c>
      <c r="QXD335" s="301" t="s">
        <v>470</v>
      </c>
      <c r="QXE335" s="301" t="s">
        <v>470</v>
      </c>
      <c r="QXF335" s="301" t="s">
        <v>470</v>
      </c>
      <c r="QXG335" s="301" t="s">
        <v>470</v>
      </c>
      <c r="QXH335" s="301" t="s">
        <v>470</v>
      </c>
      <c r="QXI335" s="301" t="s">
        <v>470</v>
      </c>
      <c r="QXJ335" s="301" t="s">
        <v>470</v>
      </c>
      <c r="QXK335" s="301" t="s">
        <v>470</v>
      </c>
      <c r="QXL335" s="301" t="s">
        <v>470</v>
      </c>
      <c r="QXM335" s="301" t="s">
        <v>470</v>
      </c>
      <c r="QXN335" s="301" t="s">
        <v>470</v>
      </c>
      <c r="QXO335" s="301" t="s">
        <v>470</v>
      </c>
      <c r="QXP335" s="301" t="s">
        <v>470</v>
      </c>
      <c r="QXQ335" s="301" t="s">
        <v>470</v>
      </c>
      <c r="QXR335" s="301" t="s">
        <v>470</v>
      </c>
      <c r="QXS335" s="301" t="s">
        <v>470</v>
      </c>
      <c r="QXT335" s="301" t="s">
        <v>470</v>
      </c>
      <c r="QXU335" s="301" t="s">
        <v>470</v>
      </c>
      <c r="QXV335" s="301" t="s">
        <v>470</v>
      </c>
      <c r="QXW335" s="301" t="s">
        <v>470</v>
      </c>
      <c r="QXX335" s="301" t="s">
        <v>470</v>
      </c>
      <c r="QXY335" s="301" t="s">
        <v>470</v>
      </c>
      <c r="QXZ335" s="301" t="s">
        <v>470</v>
      </c>
      <c r="QYA335" s="301" t="s">
        <v>470</v>
      </c>
      <c r="QYB335" s="301" t="s">
        <v>470</v>
      </c>
      <c r="QYC335" s="301" t="s">
        <v>470</v>
      </c>
      <c r="QYD335" s="301" t="s">
        <v>470</v>
      </c>
      <c r="QYE335" s="301" t="s">
        <v>470</v>
      </c>
      <c r="QYF335" s="301" t="s">
        <v>470</v>
      </c>
      <c r="QYG335" s="301" t="s">
        <v>470</v>
      </c>
      <c r="QYH335" s="301" t="s">
        <v>470</v>
      </c>
      <c r="QYI335" s="301" t="s">
        <v>470</v>
      </c>
      <c r="QYJ335" s="301" t="s">
        <v>470</v>
      </c>
      <c r="QYK335" s="301" t="s">
        <v>470</v>
      </c>
      <c r="QYL335" s="301" t="s">
        <v>470</v>
      </c>
      <c r="QYM335" s="301" t="s">
        <v>470</v>
      </c>
      <c r="QYN335" s="301" t="s">
        <v>470</v>
      </c>
      <c r="QYO335" s="301" t="s">
        <v>470</v>
      </c>
      <c r="QYP335" s="301" t="s">
        <v>470</v>
      </c>
      <c r="QYQ335" s="301" t="s">
        <v>470</v>
      </c>
      <c r="QYR335" s="301" t="s">
        <v>470</v>
      </c>
      <c r="QYS335" s="301" t="s">
        <v>470</v>
      </c>
      <c r="QYT335" s="301" t="s">
        <v>470</v>
      </c>
      <c r="QYU335" s="301" t="s">
        <v>470</v>
      </c>
      <c r="QYV335" s="301" t="s">
        <v>470</v>
      </c>
      <c r="QYW335" s="301" t="s">
        <v>470</v>
      </c>
      <c r="QYX335" s="301" t="s">
        <v>470</v>
      </c>
      <c r="QYY335" s="301" t="s">
        <v>470</v>
      </c>
      <c r="QYZ335" s="301" t="s">
        <v>470</v>
      </c>
      <c r="QZA335" s="301" t="s">
        <v>470</v>
      </c>
      <c r="QZB335" s="301" t="s">
        <v>470</v>
      </c>
      <c r="QZC335" s="301" t="s">
        <v>470</v>
      </c>
      <c r="QZD335" s="301" t="s">
        <v>470</v>
      </c>
      <c r="QZE335" s="301" t="s">
        <v>470</v>
      </c>
      <c r="QZF335" s="301" t="s">
        <v>470</v>
      </c>
      <c r="QZG335" s="301" t="s">
        <v>470</v>
      </c>
      <c r="QZH335" s="301" t="s">
        <v>470</v>
      </c>
      <c r="QZI335" s="301" t="s">
        <v>470</v>
      </c>
      <c r="QZJ335" s="301" t="s">
        <v>470</v>
      </c>
      <c r="QZK335" s="301" t="s">
        <v>470</v>
      </c>
      <c r="QZL335" s="301" t="s">
        <v>470</v>
      </c>
      <c r="QZM335" s="301" t="s">
        <v>470</v>
      </c>
      <c r="QZN335" s="301" t="s">
        <v>470</v>
      </c>
      <c r="QZO335" s="301" t="s">
        <v>470</v>
      </c>
      <c r="QZP335" s="301" t="s">
        <v>470</v>
      </c>
      <c r="QZQ335" s="301" t="s">
        <v>470</v>
      </c>
      <c r="QZR335" s="301" t="s">
        <v>470</v>
      </c>
      <c r="QZS335" s="301" t="s">
        <v>470</v>
      </c>
      <c r="QZT335" s="301" t="s">
        <v>470</v>
      </c>
      <c r="QZU335" s="301" t="s">
        <v>470</v>
      </c>
      <c r="QZV335" s="301" t="s">
        <v>470</v>
      </c>
      <c r="QZW335" s="301" t="s">
        <v>470</v>
      </c>
      <c r="QZX335" s="301" t="s">
        <v>470</v>
      </c>
      <c r="QZY335" s="301" t="s">
        <v>470</v>
      </c>
      <c r="QZZ335" s="301" t="s">
        <v>470</v>
      </c>
      <c r="RAA335" s="301" t="s">
        <v>470</v>
      </c>
      <c r="RAB335" s="301" t="s">
        <v>470</v>
      </c>
      <c r="RAC335" s="301" t="s">
        <v>470</v>
      </c>
      <c r="RAD335" s="301" t="s">
        <v>470</v>
      </c>
      <c r="RAE335" s="301" t="s">
        <v>470</v>
      </c>
      <c r="RAF335" s="301" t="s">
        <v>470</v>
      </c>
      <c r="RAG335" s="301" t="s">
        <v>470</v>
      </c>
      <c r="RAH335" s="301" t="s">
        <v>470</v>
      </c>
      <c r="RAI335" s="301" t="s">
        <v>470</v>
      </c>
      <c r="RAJ335" s="301" t="s">
        <v>470</v>
      </c>
      <c r="RAK335" s="301" t="s">
        <v>470</v>
      </c>
      <c r="RAL335" s="301" t="s">
        <v>470</v>
      </c>
      <c r="RAM335" s="301" t="s">
        <v>470</v>
      </c>
      <c r="RAN335" s="301" t="s">
        <v>470</v>
      </c>
      <c r="RAO335" s="301" t="s">
        <v>470</v>
      </c>
      <c r="RAP335" s="301" t="s">
        <v>470</v>
      </c>
      <c r="RAQ335" s="301" t="s">
        <v>470</v>
      </c>
      <c r="RAR335" s="301" t="s">
        <v>470</v>
      </c>
      <c r="RAS335" s="301" t="s">
        <v>470</v>
      </c>
      <c r="RAT335" s="301" t="s">
        <v>470</v>
      </c>
      <c r="RAU335" s="301" t="s">
        <v>470</v>
      </c>
      <c r="RAV335" s="301" t="s">
        <v>470</v>
      </c>
      <c r="RAW335" s="301" t="s">
        <v>470</v>
      </c>
      <c r="RAX335" s="301" t="s">
        <v>470</v>
      </c>
      <c r="RAY335" s="301" t="s">
        <v>470</v>
      </c>
      <c r="RAZ335" s="301" t="s">
        <v>470</v>
      </c>
      <c r="RBA335" s="301" t="s">
        <v>470</v>
      </c>
      <c r="RBB335" s="301" t="s">
        <v>470</v>
      </c>
      <c r="RBC335" s="301" t="s">
        <v>470</v>
      </c>
      <c r="RBD335" s="301" t="s">
        <v>470</v>
      </c>
      <c r="RBE335" s="301" t="s">
        <v>470</v>
      </c>
      <c r="RBF335" s="301" t="s">
        <v>470</v>
      </c>
      <c r="RBG335" s="301" t="s">
        <v>470</v>
      </c>
      <c r="RBH335" s="301" t="s">
        <v>470</v>
      </c>
      <c r="RBI335" s="301" t="s">
        <v>470</v>
      </c>
      <c r="RBJ335" s="301" t="s">
        <v>470</v>
      </c>
      <c r="RBK335" s="301" t="s">
        <v>470</v>
      </c>
      <c r="RBL335" s="301" t="s">
        <v>470</v>
      </c>
      <c r="RBM335" s="301" t="s">
        <v>470</v>
      </c>
      <c r="RBN335" s="301" t="s">
        <v>470</v>
      </c>
      <c r="RBO335" s="301" t="s">
        <v>470</v>
      </c>
      <c r="RBP335" s="301" t="s">
        <v>470</v>
      </c>
      <c r="RBQ335" s="301" t="s">
        <v>470</v>
      </c>
      <c r="RBR335" s="301" t="s">
        <v>470</v>
      </c>
      <c r="RBS335" s="301" t="s">
        <v>470</v>
      </c>
      <c r="RBT335" s="301" t="s">
        <v>470</v>
      </c>
      <c r="RBU335" s="301" t="s">
        <v>470</v>
      </c>
      <c r="RBV335" s="301" t="s">
        <v>470</v>
      </c>
      <c r="RBW335" s="301" t="s">
        <v>470</v>
      </c>
      <c r="RBX335" s="301" t="s">
        <v>470</v>
      </c>
      <c r="RBY335" s="301" t="s">
        <v>470</v>
      </c>
      <c r="RBZ335" s="301" t="s">
        <v>470</v>
      </c>
      <c r="RCA335" s="301" t="s">
        <v>470</v>
      </c>
      <c r="RCB335" s="301" t="s">
        <v>470</v>
      </c>
      <c r="RCC335" s="301" t="s">
        <v>470</v>
      </c>
      <c r="RCD335" s="301" t="s">
        <v>470</v>
      </c>
      <c r="RCE335" s="301" t="s">
        <v>470</v>
      </c>
      <c r="RCF335" s="301" t="s">
        <v>470</v>
      </c>
      <c r="RCG335" s="301" t="s">
        <v>470</v>
      </c>
      <c r="RCH335" s="301" t="s">
        <v>470</v>
      </c>
      <c r="RCI335" s="301" t="s">
        <v>470</v>
      </c>
      <c r="RCJ335" s="301" t="s">
        <v>470</v>
      </c>
      <c r="RCK335" s="301" t="s">
        <v>470</v>
      </c>
      <c r="RCL335" s="301" t="s">
        <v>470</v>
      </c>
      <c r="RCM335" s="301" t="s">
        <v>470</v>
      </c>
      <c r="RCN335" s="301" t="s">
        <v>470</v>
      </c>
      <c r="RCO335" s="301" t="s">
        <v>470</v>
      </c>
      <c r="RCP335" s="301" t="s">
        <v>470</v>
      </c>
      <c r="RCQ335" s="301" t="s">
        <v>470</v>
      </c>
      <c r="RCR335" s="301" t="s">
        <v>470</v>
      </c>
      <c r="RCS335" s="301" t="s">
        <v>470</v>
      </c>
      <c r="RCT335" s="301" t="s">
        <v>470</v>
      </c>
      <c r="RCU335" s="301" t="s">
        <v>470</v>
      </c>
      <c r="RCV335" s="301" t="s">
        <v>470</v>
      </c>
      <c r="RCW335" s="301" t="s">
        <v>470</v>
      </c>
      <c r="RCX335" s="301" t="s">
        <v>470</v>
      </c>
      <c r="RCY335" s="301" t="s">
        <v>470</v>
      </c>
      <c r="RCZ335" s="301" t="s">
        <v>470</v>
      </c>
      <c r="RDA335" s="301" t="s">
        <v>470</v>
      </c>
      <c r="RDB335" s="301" t="s">
        <v>470</v>
      </c>
      <c r="RDC335" s="301" t="s">
        <v>470</v>
      </c>
      <c r="RDD335" s="301" t="s">
        <v>470</v>
      </c>
      <c r="RDE335" s="301" t="s">
        <v>470</v>
      </c>
      <c r="RDF335" s="301" t="s">
        <v>470</v>
      </c>
      <c r="RDG335" s="301" t="s">
        <v>470</v>
      </c>
      <c r="RDH335" s="301" t="s">
        <v>470</v>
      </c>
      <c r="RDI335" s="301" t="s">
        <v>470</v>
      </c>
      <c r="RDJ335" s="301" t="s">
        <v>470</v>
      </c>
      <c r="RDK335" s="301" t="s">
        <v>470</v>
      </c>
      <c r="RDL335" s="301" t="s">
        <v>470</v>
      </c>
      <c r="RDM335" s="301" t="s">
        <v>470</v>
      </c>
      <c r="RDN335" s="301" t="s">
        <v>470</v>
      </c>
      <c r="RDO335" s="301" t="s">
        <v>470</v>
      </c>
      <c r="RDP335" s="301" t="s">
        <v>470</v>
      </c>
      <c r="RDQ335" s="301" t="s">
        <v>470</v>
      </c>
      <c r="RDR335" s="301" t="s">
        <v>470</v>
      </c>
      <c r="RDS335" s="301" t="s">
        <v>470</v>
      </c>
      <c r="RDT335" s="301" t="s">
        <v>470</v>
      </c>
      <c r="RDU335" s="301" t="s">
        <v>470</v>
      </c>
      <c r="RDV335" s="301" t="s">
        <v>470</v>
      </c>
      <c r="RDW335" s="301" t="s">
        <v>470</v>
      </c>
      <c r="RDX335" s="301" t="s">
        <v>470</v>
      </c>
      <c r="RDY335" s="301" t="s">
        <v>470</v>
      </c>
      <c r="RDZ335" s="301" t="s">
        <v>470</v>
      </c>
      <c r="REA335" s="301" t="s">
        <v>470</v>
      </c>
      <c r="REB335" s="301" t="s">
        <v>470</v>
      </c>
      <c r="REC335" s="301" t="s">
        <v>470</v>
      </c>
      <c r="RED335" s="301" t="s">
        <v>470</v>
      </c>
      <c r="REE335" s="301" t="s">
        <v>470</v>
      </c>
      <c r="REF335" s="301" t="s">
        <v>470</v>
      </c>
      <c r="REG335" s="301" t="s">
        <v>470</v>
      </c>
      <c r="REH335" s="301" t="s">
        <v>470</v>
      </c>
      <c r="REI335" s="301" t="s">
        <v>470</v>
      </c>
      <c r="REJ335" s="301" t="s">
        <v>470</v>
      </c>
      <c r="REK335" s="301" t="s">
        <v>470</v>
      </c>
      <c r="REL335" s="301" t="s">
        <v>470</v>
      </c>
      <c r="REM335" s="301" t="s">
        <v>470</v>
      </c>
      <c r="REN335" s="301" t="s">
        <v>470</v>
      </c>
      <c r="REO335" s="301" t="s">
        <v>470</v>
      </c>
      <c r="REP335" s="301" t="s">
        <v>470</v>
      </c>
      <c r="REQ335" s="301" t="s">
        <v>470</v>
      </c>
      <c r="RER335" s="301" t="s">
        <v>470</v>
      </c>
      <c r="RES335" s="301" t="s">
        <v>470</v>
      </c>
      <c r="RET335" s="301" t="s">
        <v>470</v>
      </c>
      <c r="REU335" s="301" t="s">
        <v>470</v>
      </c>
      <c r="REV335" s="301" t="s">
        <v>470</v>
      </c>
      <c r="REW335" s="301" t="s">
        <v>470</v>
      </c>
      <c r="REX335" s="301" t="s">
        <v>470</v>
      </c>
      <c r="REY335" s="301" t="s">
        <v>470</v>
      </c>
      <c r="REZ335" s="301" t="s">
        <v>470</v>
      </c>
      <c r="RFA335" s="301" t="s">
        <v>470</v>
      </c>
      <c r="RFB335" s="301" t="s">
        <v>470</v>
      </c>
      <c r="RFC335" s="301" t="s">
        <v>470</v>
      </c>
      <c r="RFD335" s="301" t="s">
        <v>470</v>
      </c>
      <c r="RFE335" s="301" t="s">
        <v>470</v>
      </c>
      <c r="RFF335" s="301" t="s">
        <v>470</v>
      </c>
      <c r="RFG335" s="301" t="s">
        <v>470</v>
      </c>
      <c r="RFH335" s="301" t="s">
        <v>470</v>
      </c>
      <c r="RFI335" s="301" t="s">
        <v>470</v>
      </c>
      <c r="RFJ335" s="301" t="s">
        <v>470</v>
      </c>
      <c r="RFK335" s="301" t="s">
        <v>470</v>
      </c>
      <c r="RFL335" s="301" t="s">
        <v>470</v>
      </c>
      <c r="RFM335" s="301" t="s">
        <v>470</v>
      </c>
      <c r="RFN335" s="301" t="s">
        <v>470</v>
      </c>
      <c r="RFO335" s="301" t="s">
        <v>470</v>
      </c>
      <c r="RFP335" s="301" t="s">
        <v>470</v>
      </c>
      <c r="RFQ335" s="301" t="s">
        <v>470</v>
      </c>
      <c r="RFR335" s="301" t="s">
        <v>470</v>
      </c>
      <c r="RFS335" s="301" t="s">
        <v>470</v>
      </c>
      <c r="RFT335" s="301" t="s">
        <v>470</v>
      </c>
      <c r="RFU335" s="301" t="s">
        <v>470</v>
      </c>
      <c r="RFV335" s="301" t="s">
        <v>470</v>
      </c>
      <c r="RFW335" s="301" t="s">
        <v>470</v>
      </c>
      <c r="RFX335" s="301" t="s">
        <v>470</v>
      </c>
      <c r="RFY335" s="301" t="s">
        <v>470</v>
      </c>
      <c r="RFZ335" s="301" t="s">
        <v>470</v>
      </c>
      <c r="RGA335" s="301" t="s">
        <v>470</v>
      </c>
      <c r="RGB335" s="301" t="s">
        <v>470</v>
      </c>
      <c r="RGC335" s="301" t="s">
        <v>470</v>
      </c>
      <c r="RGD335" s="301" t="s">
        <v>470</v>
      </c>
      <c r="RGE335" s="301" t="s">
        <v>470</v>
      </c>
      <c r="RGF335" s="301" t="s">
        <v>470</v>
      </c>
      <c r="RGG335" s="301" t="s">
        <v>470</v>
      </c>
      <c r="RGH335" s="301" t="s">
        <v>470</v>
      </c>
      <c r="RGI335" s="301" t="s">
        <v>470</v>
      </c>
      <c r="RGJ335" s="301" t="s">
        <v>470</v>
      </c>
      <c r="RGK335" s="301" t="s">
        <v>470</v>
      </c>
      <c r="RGL335" s="301" t="s">
        <v>470</v>
      </c>
      <c r="RGM335" s="301" t="s">
        <v>470</v>
      </c>
      <c r="RGN335" s="301" t="s">
        <v>470</v>
      </c>
      <c r="RGO335" s="301" t="s">
        <v>470</v>
      </c>
      <c r="RGP335" s="301" t="s">
        <v>470</v>
      </c>
      <c r="RGQ335" s="301" t="s">
        <v>470</v>
      </c>
      <c r="RGR335" s="301" t="s">
        <v>470</v>
      </c>
      <c r="RGS335" s="301" t="s">
        <v>470</v>
      </c>
      <c r="RGT335" s="301" t="s">
        <v>470</v>
      </c>
      <c r="RGU335" s="301" t="s">
        <v>470</v>
      </c>
      <c r="RGV335" s="301" t="s">
        <v>470</v>
      </c>
      <c r="RGW335" s="301" t="s">
        <v>470</v>
      </c>
      <c r="RGX335" s="301" t="s">
        <v>470</v>
      </c>
      <c r="RGY335" s="301" t="s">
        <v>470</v>
      </c>
      <c r="RGZ335" s="301" t="s">
        <v>470</v>
      </c>
      <c r="RHA335" s="301" t="s">
        <v>470</v>
      </c>
      <c r="RHB335" s="301" t="s">
        <v>470</v>
      </c>
      <c r="RHC335" s="301" t="s">
        <v>470</v>
      </c>
      <c r="RHD335" s="301" t="s">
        <v>470</v>
      </c>
      <c r="RHE335" s="301" t="s">
        <v>470</v>
      </c>
      <c r="RHF335" s="301" t="s">
        <v>470</v>
      </c>
      <c r="RHG335" s="301" t="s">
        <v>470</v>
      </c>
      <c r="RHH335" s="301" t="s">
        <v>470</v>
      </c>
      <c r="RHI335" s="301" t="s">
        <v>470</v>
      </c>
      <c r="RHJ335" s="301" t="s">
        <v>470</v>
      </c>
      <c r="RHK335" s="301" t="s">
        <v>470</v>
      </c>
      <c r="RHL335" s="301" t="s">
        <v>470</v>
      </c>
      <c r="RHM335" s="301" t="s">
        <v>470</v>
      </c>
      <c r="RHN335" s="301" t="s">
        <v>470</v>
      </c>
      <c r="RHO335" s="301" t="s">
        <v>470</v>
      </c>
      <c r="RHP335" s="301" t="s">
        <v>470</v>
      </c>
      <c r="RHQ335" s="301" t="s">
        <v>470</v>
      </c>
      <c r="RHR335" s="301" t="s">
        <v>470</v>
      </c>
      <c r="RHS335" s="301" t="s">
        <v>470</v>
      </c>
      <c r="RHT335" s="301" t="s">
        <v>470</v>
      </c>
      <c r="RHU335" s="301" t="s">
        <v>470</v>
      </c>
      <c r="RHV335" s="301" t="s">
        <v>470</v>
      </c>
      <c r="RHW335" s="301" t="s">
        <v>470</v>
      </c>
      <c r="RHX335" s="301" t="s">
        <v>470</v>
      </c>
      <c r="RHY335" s="301" t="s">
        <v>470</v>
      </c>
      <c r="RHZ335" s="301" t="s">
        <v>470</v>
      </c>
      <c r="RIA335" s="301" t="s">
        <v>470</v>
      </c>
      <c r="RIB335" s="301" t="s">
        <v>470</v>
      </c>
      <c r="RIC335" s="301" t="s">
        <v>470</v>
      </c>
      <c r="RID335" s="301" t="s">
        <v>470</v>
      </c>
      <c r="RIE335" s="301" t="s">
        <v>470</v>
      </c>
      <c r="RIF335" s="301" t="s">
        <v>470</v>
      </c>
      <c r="RIG335" s="301" t="s">
        <v>470</v>
      </c>
      <c r="RIH335" s="301" t="s">
        <v>470</v>
      </c>
      <c r="RII335" s="301" t="s">
        <v>470</v>
      </c>
      <c r="RIJ335" s="301" t="s">
        <v>470</v>
      </c>
      <c r="RIK335" s="301" t="s">
        <v>470</v>
      </c>
      <c r="RIL335" s="301" t="s">
        <v>470</v>
      </c>
      <c r="RIM335" s="301" t="s">
        <v>470</v>
      </c>
      <c r="RIN335" s="301" t="s">
        <v>470</v>
      </c>
      <c r="RIO335" s="301" t="s">
        <v>470</v>
      </c>
      <c r="RIP335" s="301" t="s">
        <v>470</v>
      </c>
      <c r="RIQ335" s="301" t="s">
        <v>470</v>
      </c>
      <c r="RIR335" s="301" t="s">
        <v>470</v>
      </c>
      <c r="RIS335" s="301" t="s">
        <v>470</v>
      </c>
      <c r="RIT335" s="301" t="s">
        <v>470</v>
      </c>
      <c r="RIU335" s="301" t="s">
        <v>470</v>
      </c>
      <c r="RIV335" s="301" t="s">
        <v>470</v>
      </c>
      <c r="RIW335" s="301" t="s">
        <v>470</v>
      </c>
      <c r="RIX335" s="301" t="s">
        <v>470</v>
      </c>
      <c r="RIY335" s="301" t="s">
        <v>470</v>
      </c>
      <c r="RIZ335" s="301" t="s">
        <v>470</v>
      </c>
      <c r="RJA335" s="301" t="s">
        <v>470</v>
      </c>
      <c r="RJB335" s="301" t="s">
        <v>470</v>
      </c>
      <c r="RJC335" s="301" t="s">
        <v>470</v>
      </c>
      <c r="RJD335" s="301" t="s">
        <v>470</v>
      </c>
      <c r="RJE335" s="301" t="s">
        <v>470</v>
      </c>
      <c r="RJF335" s="301" t="s">
        <v>470</v>
      </c>
      <c r="RJG335" s="301" t="s">
        <v>470</v>
      </c>
      <c r="RJH335" s="301" t="s">
        <v>470</v>
      </c>
      <c r="RJI335" s="301" t="s">
        <v>470</v>
      </c>
      <c r="RJJ335" s="301" t="s">
        <v>470</v>
      </c>
      <c r="RJK335" s="301" t="s">
        <v>470</v>
      </c>
      <c r="RJL335" s="301" t="s">
        <v>470</v>
      </c>
      <c r="RJM335" s="301" t="s">
        <v>470</v>
      </c>
      <c r="RJN335" s="301" t="s">
        <v>470</v>
      </c>
      <c r="RJO335" s="301" t="s">
        <v>470</v>
      </c>
      <c r="RJP335" s="301" t="s">
        <v>470</v>
      </c>
      <c r="RJQ335" s="301" t="s">
        <v>470</v>
      </c>
      <c r="RJR335" s="301" t="s">
        <v>470</v>
      </c>
      <c r="RJS335" s="301" t="s">
        <v>470</v>
      </c>
      <c r="RJT335" s="301" t="s">
        <v>470</v>
      </c>
      <c r="RJU335" s="301" t="s">
        <v>470</v>
      </c>
      <c r="RJV335" s="301" t="s">
        <v>470</v>
      </c>
      <c r="RJW335" s="301" t="s">
        <v>470</v>
      </c>
      <c r="RJX335" s="301" t="s">
        <v>470</v>
      </c>
      <c r="RJY335" s="301" t="s">
        <v>470</v>
      </c>
      <c r="RJZ335" s="301" t="s">
        <v>470</v>
      </c>
      <c r="RKA335" s="301" t="s">
        <v>470</v>
      </c>
      <c r="RKB335" s="301" t="s">
        <v>470</v>
      </c>
      <c r="RKC335" s="301" t="s">
        <v>470</v>
      </c>
      <c r="RKD335" s="301" t="s">
        <v>470</v>
      </c>
      <c r="RKE335" s="301" t="s">
        <v>470</v>
      </c>
      <c r="RKF335" s="301" t="s">
        <v>470</v>
      </c>
      <c r="RKG335" s="301" t="s">
        <v>470</v>
      </c>
      <c r="RKH335" s="301" t="s">
        <v>470</v>
      </c>
      <c r="RKI335" s="301" t="s">
        <v>470</v>
      </c>
      <c r="RKJ335" s="301" t="s">
        <v>470</v>
      </c>
      <c r="RKK335" s="301" t="s">
        <v>470</v>
      </c>
      <c r="RKL335" s="301" t="s">
        <v>470</v>
      </c>
      <c r="RKM335" s="301" t="s">
        <v>470</v>
      </c>
      <c r="RKN335" s="301" t="s">
        <v>470</v>
      </c>
      <c r="RKO335" s="301" t="s">
        <v>470</v>
      </c>
      <c r="RKP335" s="301" t="s">
        <v>470</v>
      </c>
      <c r="RKQ335" s="301" t="s">
        <v>470</v>
      </c>
      <c r="RKR335" s="301" t="s">
        <v>470</v>
      </c>
      <c r="RKS335" s="301" t="s">
        <v>470</v>
      </c>
      <c r="RKT335" s="301" t="s">
        <v>470</v>
      </c>
      <c r="RKU335" s="301" t="s">
        <v>470</v>
      </c>
      <c r="RKV335" s="301" t="s">
        <v>470</v>
      </c>
      <c r="RKW335" s="301" t="s">
        <v>470</v>
      </c>
      <c r="RKX335" s="301" t="s">
        <v>470</v>
      </c>
      <c r="RKY335" s="301" t="s">
        <v>470</v>
      </c>
      <c r="RKZ335" s="301" t="s">
        <v>470</v>
      </c>
      <c r="RLA335" s="301" t="s">
        <v>470</v>
      </c>
      <c r="RLB335" s="301" t="s">
        <v>470</v>
      </c>
      <c r="RLC335" s="301" t="s">
        <v>470</v>
      </c>
      <c r="RLD335" s="301" t="s">
        <v>470</v>
      </c>
      <c r="RLE335" s="301" t="s">
        <v>470</v>
      </c>
      <c r="RLF335" s="301" t="s">
        <v>470</v>
      </c>
      <c r="RLG335" s="301" t="s">
        <v>470</v>
      </c>
      <c r="RLH335" s="301" t="s">
        <v>470</v>
      </c>
      <c r="RLI335" s="301" t="s">
        <v>470</v>
      </c>
      <c r="RLJ335" s="301" t="s">
        <v>470</v>
      </c>
      <c r="RLK335" s="301" t="s">
        <v>470</v>
      </c>
      <c r="RLL335" s="301" t="s">
        <v>470</v>
      </c>
      <c r="RLM335" s="301" t="s">
        <v>470</v>
      </c>
      <c r="RLN335" s="301" t="s">
        <v>470</v>
      </c>
      <c r="RLO335" s="301" t="s">
        <v>470</v>
      </c>
      <c r="RLP335" s="301" t="s">
        <v>470</v>
      </c>
      <c r="RLQ335" s="301" t="s">
        <v>470</v>
      </c>
      <c r="RLR335" s="301" t="s">
        <v>470</v>
      </c>
      <c r="RLS335" s="301" t="s">
        <v>470</v>
      </c>
      <c r="RLT335" s="301" t="s">
        <v>470</v>
      </c>
      <c r="RLU335" s="301" t="s">
        <v>470</v>
      </c>
      <c r="RLV335" s="301" t="s">
        <v>470</v>
      </c>
      <c r="RLW335" s="301" t="s">
        <v>470</v>
      </c>
      <c r="RLX335" s="301" t="s">
        <v>470</v>
      </c>
      <c r="RLY335" s="301" t="s">
        <v>470</v>
      </c>
      <c r="RLZ335" s="301" t="s">
        <v>470</v>
      </c>
      <c r="RMA335" s="301" t="s">
        <v>470</v>
      </c>
      <c r="RMB335" s="301" t="s">
        <v>470</v>
      </c>
      <c r="RMC335" s="301" t="s">
        <v>470</v>
      </c>
      <c r="RMD335" s="301" t="s">
        <v>470</v>
      </c>
      <c r="RME335" s="301" t="s">
        <v>470</v>
      </c>
      <c r="RMF335" s="301" t="s">
        <v>470</v>
      </c>
      <c r="RMG335" s="301" t="s">
        <v>470</v>
      </c>
      <c r="RMH335" s="301" t="s">
        <v>470</v>
      </c>
      <c r="RMI335" s="301" t="s">
        <v>470</v>
      </c>
      <c r="RMJ335" s="301" t="s">
        <v>470</v>
      </c>
      <c r="RMK335" s="301" t="s">
        <v>470</v>
      </c>
      <c r="RML335" s="301" t="s">
        <v>470</v>
      </c>
      <c r="RMM335" s="301" t="s">
        <v>470</v>
      </c>
      <c r="RMN335" s="301" t="s">
        <v>470</v>
      </c>
      <c r="RMO335" s="301" t="s">
        <v>470</v>
      </c>
      <c r="RMP335" s="301" t="s">
        <v>470</v>
      </c>
      <c r="RMQ335" s="301" t="s">
        <v>470</v>
      </c>
      <c r="RMR335" s="301" t="s">
        <v>470</v>
      </c>
      <c r="RMS335" s="301" t="s">
        <v>470</v>
      </c>
      <c r="RMT335" s="301" t="s">
        <v>470</v>
      </c>
      <c r="RMU335" s="301" t="s">
        <v>470</v>
      </c>
      <c r="RMV335" s="301" t="s">
        <v>470</v>
      </c>
      <c r="RMW335" s="301" t="s">
        <v>470</v>
      </c>
      <c r="RMX335" s="301" t="s">
        <v>470</v>
      </c>
      <c r="RMY335" s="301" t="s">
        <v>470</v>
      </c>
      <c r="RMZ335" s="301" t="s">
        <v>470</v>
      </c>
      <c r="RNA335" s="301" t="s">
        <v>470</v>
      </c>
      <c r="RNB335" s="301" t="s">
        <v>470</v>
      </c>
      <c r="RNC335" s="301" t="s">
        <v>470</v>
      </c>
      <c r="RND335" s="301" t="s">
        <v>470</v>
      </c>
      <c r="RNE335" s="301" t="s">
        <v>470</v>
      </c>
      <c r="RNF335" s="301" t="s">
        <v>470</v>
      </c>
      <c r="RNG335" s="301" t="s">
        <v>470</v>
      </c>
      <c r="RNH335" s="301" t="s">
        <v>470</v>
      </c>
      <c r="RNI335" s="301" t="s">
        <v>470</v>
      </c>
      <c r="RNJ335" s="301" t="s">
        <v>470</v>
      </c>
      <c r="RNK335" s="301" t="s">
        <v>470</v>
      </c>
      <c r="RNL335" s="301" t="s">
        <v>470</v>
      </c>
      <c r="RNM335" s="301" t="s">
        <v>470</v>
      </c>
      <c r="RNN335" s="301" t="s">
        <v>470</v>
      </c>
      <c r="RNO335" s="301" t="s">
        <v>470</v>
      </c>
      <c r="RNP335" s="301" t="s">
        <v>470</v>
      </c>
      <c r="RNQ335" s="301" t="s">
        <v>470</v>
      </c>
      <c r="RNR335" s="301" t="s">
        <v>470</v>
      </c>
      <c r="RNS335" s="301" t="s">
        <v>470</v>
      </c>
      <c r="RNT335" s="301" t="s">
        <v>470</v>
      </c>
      <c r="RNU335" s="301" t="s">
        <v>470</v>
      </c>
      <c r="RNV335" s="301" t="s">
        <v>470</v>
      </c>
      <c r="RNW335" s="301" t="s">
        <v>470</v>
      </c>
      <c r="RNX335" s="301" t="s">
        <v>470</v>
      </c>
      <c r="RNY335" s="301" t="s">
        <v>470</v>
      </c>
      <c r="RNZ335" s="301" t="s">
        <v>470</v>
      </c>
      <c r="ROA335" s="301" t="s">
        <v>470</v>
      </c>
      <c r="ROB335" s="301" t="s">
        <v>470</v>
      </c>
      <c r="ROC335" s="301" t="s">
        <v>470</v>
      </c>
      <c r="ROD335" s="301" t="s">
        <v>470</v>
      </c>
      <c r="ROE335" s="301" t="s">
        <v>470</v>
      </c>
      <c r="ROF335" s="301" t="s">
        <v>470</v>
      </c>
      <c r="ROG335" s="301" t="s">
        <v>470</v>
      </c>
      <c r="ROH335" s="301" t="s">
        <v>470</v>
      </c>
      <c r="ROI335" s="301" t="s">
        <v>470</v>
      </c>
      <c r="ROJ335" s="301" t="s">
        <v>470</v>
      </c>
      <c r="ROK335" s="301" t="s">
        <v>470</v>
      </c>
      <c r="ROL335" s="301" t="s">
        <v>470</v>
      </c>
      <c r="ROM335" s="301" t="s">
        <v>470</v>
      </c>
      <c r="RON335" s="301" t="s">
        <v>470</v>
      </c>
      <c r="ROO335" s="301" t="s">
        <v>470</v>
      </c>
      <c r="ROP335" s="301" t="s">
        <v>470</v>
      </c>
      <c r="ROQ335" s="301" t="s">
        <v>470</v>
      </c>
      <c r="ROR335" s="301" t="s">
        <v>470</v>
      </c>
      <c r="ROS335" s="301" t="s">
        <v>470</v>
      </c>
      <c r="ROT335" s="301" t="s">
        <v>470</v>
      </c>
      <c r="ROU335" s="301" t="s">
        <v>470</v>
      </c>
      <c r="ROV335" s="301" t="s">
        <v>470</v>
      </c>
      <c r="ROW335" s="301" t="s">
        <v>470</v>
      </c>
      <c r="ROX335" s="301" t="s">
        <v>470</v>
      </c>
      <c r="ROY335" s="301" t="s">
        <v>470</v>
      </c>
      <c r="ROZ335" s="301" t="s">
        <v>470</v>
      </c>
      <c r="RPA335" s="301" t="s">
        <v>470</v>
      </c>
      <c r="RPB335" s="301" t="s">
        <v>470</v>
      </c>
      <c r="RPC335" s="301" t="s">
        <v>470</v>
      </c>
      <c r="RPD335" s="301" t="s">
        <v>470</v>
      </c>
      <c r="RPE335" s="301" t="s">
        <v>470</v>
      </c>
      <c r="RPF335" s="301" t="s">
        <v>470</v>
      </c>
      <c r="RPG335" s="301" t="s">
        <v>470</v>
      </c>
      <c r="RPH335" s="301" t="s">
        <v>470</v>
      </c>
      <c r="RPI335" s="301" t="s">
        <v>470</v>
      </c>
      <c r="RPJ335" s="301" t="s">
        <v>470</v>
      </c>
      <c r="RPK335" s="301" t="s">
        <v>470</v>
      </c>
      <c r="RPL335" s="301" t="s">
        <v>470</v>
      </c>
      <c r="RPM335" s="301" t="s">
        <v>470</v>
      </c>
      <c r="RPN335" s="301" t="s">
        <v>470</v>
      </c>
      <c r="RPO335" s="301" t="s">
        <v>470</v>
      </c>
      <c r="RPP335" s="301" t="s">
        <v>470</v>
      </c>
      <c r="RPQ335" s="301" t="s">
        <v>470</v>
      </c>
      <c r="RPR335" s="301" t="s">
        <v>470</v>
      </c>
      <c r="RPS335" s="301" t="s">
        <v>470</v>
      </c>
      <c r="RPT335" s="301" t="s">
        <v>470</v>
      </c>
      <c r="RPU335" s="301" t="s">
        <v>470</v>
      </c>
      <c r="RPV335" s="301" t="s">
        <v>470</v>
      </c>
      <c r="RPW335" s="301" t="s">
        <v>470</v>
      </c>
      <c r="RPX335" s="301" t="s">
        <v>470</v>
      </c>
      <c r="RPY335" s="301" t="s">
        <v>470</v>
      </c>
      <c r="RPZ335" s="301" t="s">
        <v>470</v>
      </c>
      <c r="RQA335" s="301" t="s">
        <v>470</v>
      </c>
      <c r="RQB335" s="301" t="s">
        <v>470</v>
      </c>
      <c r="RQC335" s="301" t="s">
        <v>470</v>
      </c>
      <c r="RQD335" s="301" t="s">
        <v>470</v>
      </c>
      <c r="RQE335" s="301" t="s">
        <v>470</v>
      </c>
      <c r="RQF335" s="301" t="s">
        <v>470</v>
      </c>
      <c r="RQG335" s="301" t="s">
        <v>470</v>
      </c>
      <c r="RQH335" s="301" t="s">
        <v>470</v>
      </c>
      <c r="RQI335" s="301" t="s">
        <v>470</v>
      </c>
      <c r="RQJ335" s="301" t="s">
        <v>470</v>
      </c>
      <c r="RQK335" s="301" t="s">
        <v>470</v>
      </c>
      <c r="RQL335" s="301" t="s">
        <v>470</v>
      </c>
      <c r="RQM335" s="301" t="s">
        <v>470</v>
      </c>
      <c r="RQN335" s="301" t="s">
        <v>470</v>
      </c>
      <c r="RQO335" s="301" t="s">
        <v>470</v>
      </c>
      <c r="RQP335" s="301" t="s">
        <v>470</v>
      </c>
      <c r="RQQ335" s="301" t="s">
        <v>470</v>
      </c>
      <c r="RQR335" s="301" t="s">
        <v>470</v>
      </c>
      <c r="RQS335" s="301" t="s">
        <v>470</v>
      </c>
      <c r="RQT335" s="301" t="s">
        <v>470</v>
      </c>
      <c r="RQU335" s="301" t="s">
        <v>470</v>
      </c>
      <c r="RQV335" s="301" t="s">
        <v>470</v>
      </c>
      <c r="RQW335" s="301" t="s">
        <v>470</v>
      </c>
      <c r="RQX335" s="301" t="s">
        <v>470</v>
      </c>
      <c r="RQY335" s="301" t="s">
        <v>470</v>
      </c>
      <c r="RQZ335" s="301" t="s">
        <v>470</v>
      </c>
      <c r="RRA335" s="301" t="s">
        <v>470</v>
      </c>
      <c r="RRB335" s="301" t="s">
        <v>470</v>
      </c>
      <c r="RRC335" s="301" t="s">
        <v>470</v>
      </c>
      <c r="RRD335" s="301" t="s">
        <v>470</v>
      </c>
      <c r="RRE335" s="301" t="s">
        <v>470</v>
      </c>
      <c r="RRF335" s="301" t="s">
        <v>470</v>
      </c>
      <c r="RRG335" s="301" t="s">
        <v>470</v>
      </c>
      <c r="RRH335" s="301" t="s">
        <v>470</v>
      </c>
      <c r="RRI335" s="301" t="s">
        <v>470</v>
      </c>
      <c r="RRJ335" s="301" t="s">
        <v>470</v>
      </c>
      <c r="RRK335" s="301" t="s">
        <v>470</v>
      </c>
      <c r="RRL335" s="301" t="s">
        <v>470</v>
      </c>
      <c r="RRM335" s="301" t="s">
        <v>470</v>
      </c>
      <c r="RRN335" s="301" t="s">
        <v>470</v>
      </c>
      <c r="RRO335" s="301" t="s">
        <v>470</v>
      </c>
      <c r="RRP335" s="301" t="s">
        <v>470</v>
      </c>
      <c r="RRQ335" s="301" t="s">
        <v>470</v>
      </c>
      <c r="RRR335" s="301" t="s">
        <v>470</v>
      </c>
      <c r="RRS335" s="301" t="s">
        <v>470</v>
      </c>
      <c r="RRT335" s="301" t="s">
        <v>470</v>
      </c>
      <c r="RRU335" s="301" t="s">
        <v>470</v>
      </c>
      <c r="RRV335" s="301" t="s">
        <v>470</v>
      </c>
      <c r="RRW335" s="301" t="s">
        <v>470</v>
      </c>
      <c r="RRX335" s="301" t="s">
        <v>470</v>
      </c>
      <c r="RRY335" s="301" t="s">
        <v>470</v>
      </c>
      <c r="RRZ335" s="301" t="s">
        <v>470</v>
      </c>
      <c r="RSA335" s="301" t="s">
        <v>470</v>
      </c>
      <c r="RSB335" s="301" t="s">
        <v>470</v>
      </c>
      <c r="RSC335" s="301" t="s">
        <v>470</v>
      </c>
      <c r="RSD335" s="301" t="s">
        <v>470</v>
      </c>
      <c r="RSE335" s="301" t="s">
        <v>470</v>
      </c>
      <c r="RSF335" s="301" t="s">
        <v>470</v>
      </c>
      <c r="RSG335" s="301" t="s">
        <v>470</v>
      </c>
      <c r="RSH335" s="301" t="s">
        <v>470</v>
      </c>
      <c r="RSI335" s="301" t="s">
        <v>470</v>
      </c>
      <c r="RSJ335" s="301" t="s">
        <v>470</v>
      </c>
      <c r="RSK335" s="301" t="s">
        <v>470</v>
      </c>
      <c r="RSL335" s="301" t="s">
        <v>470</v>
      </c>
      <c r="RSM335" s="301" t="s">
        <v>470</v>
      </c>
      <c r="RSN335" s="301" t="s">
        <v>470</v>
      </c>
      <c r="RSO335" s="301" t="s">
        <v>470</v>
      </c>
      <c r="RSP335" s="301" t="s">
        <v>470</v>
      </c>
      <c r="RSQ335" s="301" t="s">
        <v>470</v>
      </c>
      <c r="RSR335" s="301" t="s">
        <v>470</v>
      </c>
      <c r="RSS335" s="301" t="s">
        <v>470</v>
      </c>
      <c r="RST335" s="301" t="s">
        <v>470</v>
      </c>
      <c r="RSU335" s="301" t="s">
        <v>470</v>
      </c>
      <c r="RSV335" s="301" t="s">
        <v>470</v>
      </c>
      <c r="RSW335" s="301" t="s">
        <v>470</v>
      </c>
      <c r="RSX335" s="301" t="s">
        <v>470</v>
      </c>
      <c r="RSY335" s="301" t="s">
        <v>470</v>
      </c>
      <c r="RSZ335" s="301" t="s">
        <v>470</v>
      </c>
      <c r="RTA335" s="301" t="s">
        <v>470</v>
      </c>
      <c r="RTB335" s="301" t="s">
        <v>470</v>
      </c>
      <c r="RTC335" s="301" t="s">
        <v>470</v>
      </c>
      <c r="RTD335" s="301" t="s">
        <v>470</v>
      </c>
      <c r="RTE335" s="301" t="s">
        <v>470</v>
      </c>
      <c r="RTF335" s="301" t="s">
        <v>470</v>
      </c>
      <c r="RTG335" s="301" t="s">
        <v>470</v>
      </c>
      <c r="RTH335" s="301" t="s">
        <v>470</v>
      </c>
      <c r="RTI335" s="301" t="s">
        <v>470</v>
      </c>
      <c r="RTJ335" s="301" t="s">
        <v>470</v>
      </c>
      <c r="RTK335" s="301" t="s">
        <v>470</v>
      </c>
      <c r="RTL335" s="301" t="s">
        <v>470</v>
      </c>
      <c r="RTM335" s="301" t="s">
        <v>470</v>
      </c>
      <c r="RTN335" s="301" t="s">
        <v>470</v>
      </c>
      <c r="RTO335" s="301" t="s">
        <v>470</v>
      </c>
      <c r="RTP335" s="301" t="s">
        <v>470</v>
      </c>
      <c r="RTQ335" s="301" t="s">
        <v>470</v>
      </c>
      <c r="RTR335" s="301" t="s">
        <v>470</v>
      </c>
      <c r="RTS335" s="301" t="s">
        <v>470</v>
      </c>
      <c r="RTT335" s="301" t="s">
        <v>470</v>
      </c>
      <c r="RTU335" s="301" t="s">
        <v>470</v>
      </c>
      <c r="RTV335" s="301" t="s">
        <v>470</v>
      </c>
      <c r="RTW335" s="301" t="s">
        <v>470</v>
      </c>
      <c r="RTX335" s="301" t="s">
        <v>470</v>
      </c>
      <c r="RTY335" s="301" t="s">
        <v>470</v>
      </c>
      <c r="RTZ335" s="301" t="s">
        <v>470</v>
      </c>
      <c r="RUA335" s="301" t="s">
        <v>470</v>
      </c>
      <c r="RUB335" s="301" t="s">
        <v>470</v>
      </c>
      <c r="RUC335" s="301" t="s">
        <v>470</v>
      </c>
      <c r="RUD335" s="301" t="s">
        <v>470</v>
      </c>
      <c r="RUE335" s="301" t="s">
        <v>470</v>
      </c>
      <c r="RUF335" s="301" t="s">
        <v>470</v>
      </c>
      <c r="RUG335" s="301" t="s">
        <v>470</v>
      </c>
      <c r="RUH335" s="301" t="s">
        <v>470</v>
      </c>
      <c r="RUI335" s="301" t="s">
        <v>470</v>
      </c>
      <c r="RUJ335" s="301" t="s">
        <v>470</v>
      </c>
      <c r="RUK335" s="301" t="s">
        <v>470</v>
      </c>
      <c r="RUL335" s="301" t="s">
        <v>470</v>
      </c>
      <c r="RUM335" s="301" t="s">
        <v>470</v>
      </c>
      <c r="RUN335" s="301" t="s">
        <v>470</v>
      </c>
      <c r="RUO335" s="301" t="s">
        <v>470</v>
      </c>
      <c r="RUP335" s="301" t="s">
        <v>470</v>
      </c>
      <c r="RUQ335" s="301" t="s">
        <v>470</v>
      </c>
      <c r="RUR335" s="301" t="s">
        <v>470</v>
      </c>
      <c r="RUS335" s="301" t="s">
        <v>470</v>
      </c>
      <c r="RUT335" s="301" t="s">
        <v>470</v>
      </c>
      <c r="RUU335" s="301" t="s">
        <v>470</v>
      </c>
      <c r="RUV335" s="301" t="s">
        <v>470</v>
      </c>
      <c r="RUW335" s="301" t="s">
        <v>470</v>
      </c>
      <c r="RUX335" s="301" t="s">
        <v>470</v>
      </c>
      <c r="RUY335" s="301" t="s">
        <v>470</v>
      </c>
      <c r="RUZ335" s="301" t="s">
        <v>470</v>
      </c>
      <c r="RVA335" s="301" t="s">
        <v>470</v>
      </c>
      <c r="RVB335" s="301" t="s">
        <v>470</v>
      </c>
      <c r="RVC335" s="301" t="s">
        <v>470</v>
      </c>
      <c r="RVD335" s="301" t="s">
        <v>470</v>
      </c>
      <c r="RVE335" s="301" t="s">
        <v>470</v>
      </c>
      <c r="RVF335" s="301" t="s">
        <v>470</v>
      </c>
      <c r="RVG335" s="301" t="s">
        <v>470</v>
      </c>
      <c r="RVH335" s="301" t="s">
        <v>470</v>
      </c>
      <c r="RVI335" s="301" t="s">
        <v>470</v>
      </c>
      <c r="RVJ335" s="301" t="s">
        <v>470</v>
      </c>
      <c r="RVK335" s="301" t="s">
        <v>470</v>
      </c>
      <c r="RVL335" s="301" t="s">
        <v>470</v>
      </c>
      <c r="RVM335" s="301" t="s">
        <v>470</v>
      </c>
      <c r="RVN335" s="301" t="s">
        <v>470</v>
      </c>
      <c r="RVO335" s="301" t="s">
        <v>470</v>
      </c>
      <c r="RVP335" s="301" t="s">
        <v>470</v>
      </c>
      <c r="RVQ335" s="301" t="s">
        <v>470</v>
      </c>
      <c r="RVR335" s="301" t="s">
        <v>470</v>
      </c>
      <c r="RVS335" s="301" t="s">
        <v>470</v>
      </c>
      <c r="RVT335" s="301" t="s">
        <v>470</v>
      </c>
      <c r="RVU335" s="301" t="s">
        <v>470</v>
      </c>
      <c r="RVV335" s="301" t="s">
        <v>470</v>
      </c>
      <c r="RVW335" s="301" t="s">
        <v>470</v>
      </c>
      <c r="RVX335" s="301" t="s">
        <v>470</v>
      </c>
      <c r="RVY335" s="301" t="s">
        <v>470</v>
      </c>
      <c r="RVZ335" s="301" t="s">
        <v>470</v>
      </c>
      <c r="RWA335" s="301" t="s">
        <v>470</v>
      </c>
      <c r="RWB335" s="301" t="s">
        <v>470</v>
      </c>
      <c r="RWC335" s="301" t="s">
        <v>470</v>
      </c>
      <c r="RWD335" s="301" t="s">
        <v>470</v>
      </c>
      <c r="RWE335" s="301" t="s">
        <v>470</v>
      </c>
      <c r="RWF335" s="301" t="s">
        <v>470</v>
      </c>
      <c r="RWG335" s="301" t="s">
        <v>470</v>
      </c>
      <c r="RWH335" s="301" t="s">
        <v>470</v>
      </c>
      <c r="RWI335" s="301" t="s">
        <v>470</v>
      </c>
      <c r="RWJ335" s="301" t="s">
        <v>470</v>
      </c>
      <c r="RWK335" s="301" t="s">
        <v>470</v>
      </c>
      <c r="RWL335" s="301" t="s">
        <v>470</v>
      </c>
      <c r="RWM335" s="301" t="s">
        <v>470</v>
      </c>
      <c r="RWN335" s="301" t="s">
        <v>470</v>
      </c>
      <c r="RWO335" s="301" t="s">
        <v>470</v>
      </c>
      <c r="RWP335" s="301" t="s">
        <v>470</v>
      </c>
      <c r="RWQ335" s="301" t="s">
        <v>470</v>
      </c>
      <c r="RWR335" s="301" t="s">
        <v>470</v>
      </c>
      <c r="RWS335" s="301" t="s">
        <v>470</v>
      </c>
      <c r="RWT335" s="301" t="s">
        <v>470</v>
      </c>
      <c r="RWU335" s="301" t="s">
        <v>470</v>
      </c>
      <c r="RWV335" s="301" t="s">
        <v>470</v>
      </c>
      <c r="RWW335" s="301" t="s">
        <v>470</v>
      </c>
      <c r="RWX335" s="301" t="s">
        <v>470</v>
      </c>
      <c r="RWY335" s="301" t="s">
        <v>470</v>
      </c>
      <c r="RWZ335" s="301" t="s">
        <v>470</v>
      </c>
      <c r="RXA335" s="301" t="s">
        <v>470</v>
      </c>
      <c r="RXB335" s="301" t="s">
        <v>470</v>
      </c>
      <c r="RXC335" s="301" t="s">
        <v>470</v>
      </c>
      <c r="RXD335" s="301" t="s">
        <v>470</v>
      </c>
      <c r="RXE335" s="301" t="s">
        <v>470</v>
      </c>
      <c r="RXF335" s="301" t="s">
        <v>470</v>
      </c>
      <c r="RXG335" s="301" t="s">
        <v>470</v>
      </c>
      <c r="RXH335" s="301" t="s">
        <v>470</v>
      </c>
      <c r="RXI335" s="301" t="s">
        <v>470</v>
      </c>
      <c r="RXJ335" s="301" t="s">
        <v>470</v>
      </c>
      <c r="RXK335" s="301" t="s">
        <v>470</v>
      </c>
      <c r="RXL335" s="301" t="s">
        <v>470</v>
      </c>
      <c r="RXM335" s="301" t="s">
        <v>470</v>
      </c>
      <c r="RXN335" s="301" t="s">
        <v>470</v>
      </c>
      <c r="RXO335" s="301" t="s">
        <v>470</v>
      </c>
      <c r="RXP335" s="301" t="s">
        <v>470</v>
      </c>
      <c r="RXQ335" s="301" t="s">
        <v>470</v>
      </c>
      <c r="RXR335" s="301" t="s">
        <v>470</v>
      </c>
      <c r="RXS335" s="301" t="s">
        <v>470</v>
      </c>
      <c r="RXT335" s="301" t="s">
        <v>470</v>
      </c>
      <c r="RXU335" s="301" t="s">
        <v>470</v>
      </c>
      <c r="RXV335" s="301" t="s">
        <v>470</v>
      </c>
      <c r="RXW335" s="301" t="s">
        <v>470</v>
      </c>
      <c r="RXX335" s="301" t="s">
        <v>470</v>
      </c>
      <c r="RXY335" s="301" t="s">
        <v>470</v>
      </c>
      <c r="RXZ335" s="301" t="s">
        <v>470</v>
      </c>
      <c r="RYA335" s="301" t="s">
        <v>470</v>
      </c>
      <c r="RYB335" s="301" t="s">
        <v>470</v>
      </c>
      <c r="RYC335" s="301" t="s">
        <v>470</v>
      </c>
      <c r="RYD335" s="301" t="s">
        <v>470</v>
      </c>
      <c r="RYE335" s="301" t="s">
        <v>470</v>
      </c>
      <c r="RYF335" s="301" t="s">
        <v>470</v>
      </c>
      <c r="RYG335" s="301" t="s">
        <v>470</v>
      </c>
      <c r="RYH335" s="301" t="s">
        <v>470</v>
      </c>
      <c r="RYI335" s="301" t="s">
        <v>470</v>
      </c>
      <c r="RYJ335" s="301" t="s">
        <v>470</v>
      </c>
      <c r="RYK335" s="301" t="s">
        <v>470</v>
      </c>
      <c r="RYL335" s="301" t="s">
        <v>470</v>
      </c>
      <c r="RYM335" s="301" t="s">
        <v>470</v>
      </c>
      <c r="RYN335" s="301" t="s">
        <v>470</v>
      </c>
      <c r="RYO335" s="301" t="s">
        <v>470</v>
      </c>
      <c r="RYP335" s="301" t="s">
        <v>470</v>
      </c>
      <c r="RYQ335" s="301" t="s">
        <v>470</v>
      </c>
      <c r="RYR335" s="301" t="s">
        <v>470</v>
      </c>
      <c r="RYS335" s="301" t="s">
        <v>470</v>
      </c>
      <c r="RYT335" s="301" t="s">
        <v>470</v>
      </c>
      <c r="RYU335" s="301" t="s">
        <v>470</v>
      </c>
      <c r="RYV335" s="301" t="s">
        <v>470</v>
      </c>
      <c r="RYW335" s="301" t="s">
        <v>470</v>
      </c>
      <c r="RYX335" s="301" t="s">
        <v>470</v>
      </c>
      <c r="RYY335" s="301" t="s">
        <v>470</v>
      </c>
      <c r="RYZ335" s="301" t="s">
        <v>470</v>
      </c>
      <c r="RZA335" s="301" t="s">
        <v>470</v>
      </c>
      <c r="RZB335" s="301" t="s">
        <v>470</v>
      </c>
      <c r="RZC335" s="301" t="s">
        <v>470</v>
      </c>
      <c r="RZD335" s="301" t="s">
        <v>470</v>
      </c>
      <c r="RZE335" s="301" t="s">
        <v>470</v>
      </c>
      <c r="RZF335" s="301" t="s">
        <v>470</v>
      </c>
      <c r="RZG335" s="301" t="s">
        <v>470</v>
      </c>
      <c r="RZH335" s="301" t="s">
        <v>470</v>
      </c>
      <c r="RZI335" s="301" t="s">
        <v>470</v>
      </c>
      <c r="RZJ335" s="301" t="s">
        <v>470</v>
      </c>
      <c r="RZK335" s="301" t="s">
        <v>470</v>
      </c>
      <c r="RZL335" s="301" t="s">
        <v>470</v>
      </c>
      <c r="RZM335" s="301" t="s">
        <v>470</v>
      </c>
      <c r="RZN335" s="301" t="s">
        <v>470</v>
      </c>
      <c r="RZO335" s="301" t="s">
        <v>470</v>
      </c>
      <c r="RZP335" s="301" t="s">
        <v>470</v>
      </c>
      <c r="RZQ335" s="301" t="s">
        <v>470</v>
      </c>
      <c r="RZR335" s="301" t="s">
        <v>470</v>
      </c>
      <c r="RZS335" s="301" t="s">
        <v>470</v>
      </c>
      <c r="RZT335" s="301" t="s">
        <v>470</v>
      </c>
      <c r="RZU335" s="301" t="s">
        <v>470</v>
      </c>
      <c r="RZV335" s="301" t="s">
        <v>470</v>
      </c>
      <c r="RZW335" s="301" t="s">
        <v>470</v>
      </c>
      <c r="RZX335" s="301" t="s">
        <v>470</v>
      </c>
      <c r="RZY335" s="301" t="s">
        <v>470</v>
      </c>
      <c r="RZZ335" s="301" t="s">
        <v>470</v>
      </c>
      <c r="SAA335" s="301" t="s">
        <v>470</v>
      </c>
      <c r="SAB335" s="301" t="s">
        <v>470</v>
      </c>
      <c r="SAC335" s="301" t="s">
        <v>470</v>
      </c>
      <c r="SAD335" s="301" t="s">
        <v>470</v>
      </c>
      <c r="SAE335" s="301" t="s">
        <v>470</v>
      </c>
      <c r="SAF335" s="301" t="s">
        <v>470</v>
      </c>
      <c r="SAG335" s="301" t="s">
        <v>470</v>
      </c>
      <c r="SAH335" s="301" t="s">
        <v>470</v>
      </c>
      <c r="SAI335" s="301" t="s">
        <v>470</v>
      </c>
      <c r="SAJ335" s="301" t="s">
        <v>470</v>
      </c>
      <c r="SAK335" s="301" t="s">
        <v>470</v>
      </c>
      <c r="SAL335" s="301" t="s">
        <v>470</v>
      </c>
      <c r="SAM335" s="301" t="s">
        <v>470</v>
      </c>
      <c r="SAN335" s="301" t="s">
        <v>470</v>
      </c>
      <c r="SAO335" s="301" t="s">
        <v>470</v>
      </c>
      <c r="SAP335" s="301" t="s">
        <v>470</v>
      </c>
      <c r="SAQ335" s="301" t="s">
        <v>470</v>
      </c>
      <c r="SAR335" s="301" t="s">
        <v>470</v>
      </c>
      <c r="SAS335" s="301" t="s">
        <v>470</v>
      </c>
      <c r="SAT335" s="301" t="s">
        <v>470</v>
      </c>
      <c r="SAU335" s="301" t="s">
        <v>470</v>
      </c>
      <c r="SAV335" s="301" t="s">
        <v>470</v>
      </c>
      <c r="SAW335" s="301" t="s">
        <v>470</v>
      </c>
      <c r="SAX335" s="301" t="s">
        <v>470</v>
      </c>
      <c r="SAY335" s="301" t="s">
        <v>470</v>
      </c>
      <c r="SAZ335" s="301" t="s">
        <v>470</v>
      </c>
      <c r="SBA335" s="301" t="s">
        <v>470</v>
      </c>
      <c r="SBB335" s="301" t="s">
        <v>470</v>
      </c>
      <c r="SBC335" s="301" t="s">
        <v>470</v>
      </c>
      <c r="SBD335" s="301" t="s">
        <v>470</v>
      </c>
      <c r="SBE335" s="301" t="s">
        <v>470</v>
      </c>
      <c r="SBF335" s="301" t="s">
        <v>470</v>
      </c>
      <c r="SBG335" s="301" t="s">
        <v>470</v>
      </c>
      <c r="SBH335" s="301" t="s">
        <v>470</v>
      </c>
      <c r="SBI335" s="301" t="s">
        <v>470</v>
      </c>
      <c r="SBJ335" s="301" t="s">
        <v>470</v>
      </c>
      <c r="SBK335" s="301" t="s">
        <v>470</v>
      </c>
      <c r="SBL335" s="301" t="s">
        <v>470</v>
      </c>
      <c r="SBM335" s="301" t="s">
        <v>470</v>
      </c>
      <c r="SBN335" s="301" t="s">
        <v>470</v>
      </c>
      <c r="SBO335" s="301" t="s">
        <v>470</v>
      </c>
      <c r="SBP335" s="301" t="s">
        <v>470</v>
      </c>
      <c r="SBQ335" s="301" t="s">
        <v>470</v>
      </c>
      <c r="SBR335" s="301" t="s">
        <v>470</v>
      </c>
      <c r="SBS335" s="301" t="s">
        <v>470</v>
      </c>
      <c r="SBT335" s="301" t="s">
        <v>470</v>
      </c>
      <c r="SBU335" s="301" t="s">
        <v>470</v>
      </c>
      <c r="SBV335" s="301" t="s">
        <v>470</v>
      </c>
      <c r="SBW335" s="301" t="s">
        <v>470</v>
      </c>
      <c r="SBX335" s="301" t="s">
        <v>470</v>
      </c>
      <c r="SBY335" s="301" t="s">
        <v>470</v>
      </c>
      <c r="SBZ335" s="301" t="s">
        <v>470</v>
      </c>
      <c r="SCA335" s="301" t="s">
        <v>470</v>
      </c>
      <c r="SCB335" s="301" t="s">
        <v>470</v>
      </c>
      <c r="SCC335" s="301" t="s">
        <v>470</v>
      </c>
      <c r="SCD335" s="301" t="s">
        <v>470</v>
      </c>
      <c r="SCE335" s="301" t="s">
        <v>470</v>
      </c>
      <c r="SCF335" s="301" t="s">
        <v>470</v>
      </c>
      <c r="SCG335" s="301" t="s">
        <v>470</v>
      </c>
      <c r="SCH335" s="301" t="s">
        <v>470</v>
      </c>
      <c r="SCI335" s="301" t="s">
        <v>470</v>
      </c>
      <c r="SCJ335" s="301" t="s">
        <v>470</v>
      </c>
      <c r="SCK335" s="301" t="s">
        <v>470</v>
      </c>
      <c r="SCL335" s="301" t="s">
        <v>470</v>
      </c>
      <c r="SCM335" s="301" t="s">
        <v>470</v>
      </c>
      <c r="SCN335" s="301" t="s">
        <v>470</v>
      </c>
      <c r="SCO335" s="301" t="s">
        <v>470</v>
      </c>
      <c r="SCP335" s="301" t="s">
        <v>470</v>
      </c>
      <c r="SCQ335" s="301" t="s">
        <v>470</v>
      </c>
      <c r="SCR335" s="301" t="s">
        <v>470</v>
      </c>
      <c r="SCS335" s="301" t="s">
        <v>470</v>
      </c>
      <c r="SCT335" s="301" t="s">
        <v>470</v>
      </c>
      <c r="SCU335" s="301" t="s">
        <v>470</v>
      </c>
      <c r="SCV335" s="301" t="s">
        <v>470</v>
      </c>
      <c r="SCW335" s="301" t="s">
        <v>470</v>
      </c>
      <c r="SCX335" s="301" t="s">
        <v>470</v>
      </c>
      <c r="SCY335" s="301" t="s">
        <v>470</v>
      </c>
      <c r="SCZ335" s="301" t="s">
        <v>470</v>
      </c>
      <c r="SDA335" s="301" t="s">
        <v>470</v>
      </c>
      <c r="SDB335" s="301" t="s">
        <v>470</v>
      </c>
      <c r="SDC335" s="301" t="s">
        <v>470</v>
      </c>
      <c r="SDD335" s="301" t="s">
        <v>470</v>
      </c>
      <c r="SDE335" s="301" t="s">
        <v>470</v>
      </c>
      <c r="SDF335" s="301" t="s">
        <v>470</v>
      </c>
      <c r="SDG335" s="301" t="s">
        <v>470</v>
      </c>
      <c r="SDH335" s="301" t="s">
        <v>470</v>
      </c>
      <c r="SDI335" s="301" t="s">
        <v>470</v>
      </c>
      <c r="SDJ335" s="301" t="s">
        <v>470</v>
      </c>
      <c r="SDK335" s="301" t="s">
        <v>470</v>
      </c>
      <c r="SDL335" s="301" t="s">
        <v>470</v>
      </c>
      <c r="SDM335" s="301" t="s">
        <v>470</v>
      </c>
      <c r="SDN335" s="301" t="s">
        <v>470</v>
      </c>
      <c r="SDO335" s="301" t="s">
        <v>470</v>
      </c>
      <c r="SDP335" s="301" t="s">
        <v>470</v>
      </c>
      <c r="SDQ335" s="301" t="s">
        <v>470</v>
      </c>
      <c r="SDR335" s="301" t="s">
        <v>470</v>
      </c>
      <c r="SDS335" s="301" t="s">
        <v>470</v>
      </c>
      <c r="SDT335" s="301" t="s">
        <v>470</v>
      </c>
      <c r="SDU335" s="301" t="s">
        <v>470</v>
      </c>
      <c r="SDV335" s="301" t="s">
        <v>470</v>
      </c>
      <c r="SDW335" s="301" t="s">
        <v>470</v>
      </c>
      <c r="SDX335" s="301" t="s">
        <v>470</v>
      </c>
      <c r="SDY335" s="301" t="s">
        <v>470</v>
      </c>
      <c r="SDZ335" s="301" t="s">
        <v>470</v>
      </c>
      <c r="SEA335" s="301" t="s">
        <v>470</v>
      </c>
      <c r="SEB335" s="301" t="s">
        <v>470</v>
      </c>
      <c r="SEC335" s="301" t="s">
        <v>470</v>
      </c>
      <c r="SED335" s="301" t="s">
        <v>470</v>
      </c>
      <c r="SEE335" s="301" t="s">
        <v>470</v>
      </c>
      <c r="SEF335" s="301" t="s">
        <v>470</v>
      </c>
      <c r="SEG335" s="301" t="s">
        <v>470</v>
      </c>
      <c r="SEH335" s="301" t="s">
        <v>470</v>
      </c>
      <c r="SEI335" s="301" t="s">
        <v>470</v>
      </c>
      <c r="SEJ335" s="301" t="s">
        <v>470</v>
      </c>
      <c r="SEK335" s="301" t="s">
        <v>470</v>
      </c>
      <c r="SEL335" s="301" t="s">
        <v>470</v>
      </c>
      <c r="SEM335" s="301" t="s">
        <v>470</v>
      </c>
      <c r="SEN335" s="301" t="s">
        <v>470</v>
      </c>
      <c r="SEO335" s="301" t="s">
        <v>470</v>
      </c>
      <c r="SEP335" s="301" t="s">
        <v>470</v>
      </c>
      <c r="SEQ335" s="301" t="s">
        <v>470</v>
      </c>
      <c r="SER335" s="301" t="s">
        <v>470</v>
      </c>
      <c r="SES335" s="301" t="s">
        <v>470</v>
      </c>
      <c r="SET335" s="301" t="s">
        <v>470</v>
      </c>
      <c r="SEU335" s="301" t="s">
        <v>470</v>
      </c>
      <c r="SEV335" s="301" t="s">
        <v>470</v>
      </c>
      <c r="SEW335" s="301" t="s">
        <v>470</v>
      </c>
      <c r="SEX335" s="301" t="s">
        <v>470</v>
      </c>
      <c r="SEY335" s="301" t="s">
        <v>470</v>
      </c>
      <c r="SEZ335" s="301" t="s">
        <v>470</v>
      </c>
      <c r="SFA335" s="301" t="s">
        <v>470</v>
      </c>
      <c r="SFB335" s="301" t="s">
        <v>470</v>
      </c>
      <c r="SFC335" s="301" t="s">
        <v>470</v>
      </c>
      <c r="SFD335" s="301" t="s">
        <v>470</v>
      </c>
      <c r="SFE335" s="301" t="s">
        <v>470</v>
      </c>
      <c r="SFF335" s="301" t="s">
        <v>470</v>
      </c>
      <c r="SFG335" s="301" t="s">
        <v>470</v>
      </c>
      <c r="SFH335" s="301" t="s">
        <v>470</v>
      </c>
      <c r="SFI335" s="301" t="s">
        <v>470</v>
      </c>
      <c r="SFJ335" s="301" t="s">
        <v>470</v>
      </c>
      <c r="SFK335" s="301" t="s">
        <v>470</v>
      </c>
      <c r="SFL335" s="301" t="s">
        <v>470</v>
      </c>
      <c r="SFM335" s="301" t="s">
        <v>470</v>
      </c>
      <c r="SFN335" s="301" t="s">
        <v>470</v>
      </c>
      <c r="SFO335" s="301" t="s">
        <v>470</v>
      </c>
      <c r="SFP335" s="301" t="s">
        <v>470</v>
      </c>
      <c r="SFQ335" s="301" t="s">
        <v>470</v>
      </c>
      <c r="SFR335" s="301" t="s">
        <v>470</v>
      </c>
      <c r="SFS335" s="301" t="s">
        <v>470</v>
      </c>
      <c r="SFT335" s="301" t="s">
        <v>470</v>
      </c>
      <c r="SFU335" s="301" t="s">
        <v>470</v>
      </c>
      <c r="SFV335" s="301" t="s">
        <v>470</v>
      </c>
      <c r="SFW335" s="301" t="s">
        <v>470</v>
      </c>
      <c r="SFX335" s="301" t="s">
        <v>470</v>
      </c>
      <c r="SFY335" s="301" t="s">
        <v>470</v>
      </c>
      <c r="SFZ335" s="301" t="s">
        <v>470</v>
      </c>
      <c r="SGA335" s="301" t="s">
        <v>470</v>
      </c>
      <c r="SGB335" s="301" t="s">
        <v>470</v>
      </c>
      <c r="SGC335" s="301" t="s">
        <v>470</v>
      </c>
      <c r="SGD335" s="301" t="s">
        <v>470</v>
      </c>
      <c r="SGE335" s="301" t="s">
        <v>470</v>
      </c>
      <c r="SGF335" s="301" t="s">
        <v>470</v>
      </c>
      <c r="SGG335" s="301" t="s">
        <v>470</v>
      </c>
      <c r="SGH335" s="301" t="s">
        <v>470</v>
      </c>
      <c r="SGI335" s="301" t="s">
        <v>470</v>
      </c>
      <c r="SGJ335" s="301" t="s">
        <v>470</v>
      </c>
      <c r="SGK335" s="301" t="s">
        <v>470</v>
      </c>
      <c r="SGL335" s="301" t="s">
        <v>470</v>
      </c>
      <c r="SGM335" s="301" t="s">
        <v>470</v>
      </c>
      <c r="SGN335" s="301" t="s">
        <v>470</v>
      </c>
      <c r="SGO335" s="301" t="s">
        <v>470</v>
      </c>
      <c r="SGP335" s="301" t="s">
        <v>470</v>
      </c>
      <c r="SGQ335" s="301" t="s">
        <v>470</v>
      </c>
      <c r="SGR335" s="301" t="s">
        <v>470</v>
      </c>
      <c r="SGS335" s="301" t="s">
        <v>470</v>
      </c>
      <c r="SGT335" s="301" t="s">
        <v>470</v>
      </c>
      <c r="SGU335" s="301" t="s">
        <v>470</v>
      </c>
      <c r="SGV335" s="301" t="s">
        <v>470</v>
      </c>
      <c r="SGW335" s="301" t="s">
        <v>470</v>
      </c>
      <c r="SGX335" s="301" t="s">
        <v>470</v>
      </c>
      <c r="SGY335" s="301" t="s">
        <v>470</v>
      </c>
      <c r="SGZ335" s="301" t="s">
        <v>470</v>
      </c>
      <c r="SHA335" s="301" t="s">
        <v>470</v>
      </c>
      <c r="SHB335" s="301" t="s">
        <v>470</v>
      </c>
      <c r="SHC335" s="301" t="s">
        <v>470</v>
      </c>
      <c r="SHD335" s="301" t="s">
        <v>470</v>
      </c>
      <c r="SHE335" s="301" t="s">
        <v>470</v>
      </c>
      <c r="SHF335" s="301" t="s">
        <v>470</v>
      </c>
      <c r="SHG335" s="301" t="s">
        <v>470</v>
      </c>
      <c r="SHH335" s="301" t="s">
        <v>470</v>
      </c>
      <c r="SHI335" s="301" t="s">
        <v>470</v>
      </c>
      <c r="SHJ335" s="301" t="s">
        <v>470</v>
      </c>
      <c r="SHK335" s="301" t="s">
        <v>470</v>
      </c>
      <c r="SHL335" s="301" t="s">
        <v>470</v>
      </c>
      <c r="SHM335" s="301" t="s">
        <v>470</v>
      </c>
      <c r="SHN335" s="301" t="s">
        <v>470</v>
      </c>
      <c r="SHO335" s="301" t="s">
        <v>470</v>
      </c>
      <c r="SHP335" s="301" t="s">
        <v>470</v>
      </c>
      <c r="SHQ335" s="301" t="s">
        <v>470</v>
      </c>
      <c r="SHR335" s="301" t="s">
        <v>470</v>
      </c>
      <c r="SHS335" s="301" t="s">
        <v>470</v>
      </c>
      <c r="SHT335" s="301" t="s">
        <v>470</v>
      </c>
      <c r="SHU335" s="301" t="s">
        <v>470</v>
      </c>
      <c r="SHV335" s="301" t="s">
        <v>470</v>
      </c>
      <c r="SHW335" s="301" t="s">
        <v>470</v>
      </c>
      <c r="SHX335" s="301" t="s">
        <v>470</v>
      </c>
      <c r="SHY335" s="301" t="s">
        <v>470</v>
      </c>
      <c r="SHZ335" s="301" t="s">
        <v>470</v>
      </c>
      <c r="SIA335" s="301" t="s">
        <v>470</v>
      </c>
      <c r="SIB335" s="301" t="s">
        <v>470</v>
      </c>
      <c r="SIC335" s="301" t="s">
        <v>470</v>
      </c>
      <c r="SID335" s="301" t="s">
        <v>470</v>
      </c>
      <c r="SIE335" s="301" t="s">
        <v>470</v>
      </c>
      <c r="SIF335" s="301" t="s">
        <v>470</v>
      </c>
      <c r="SIG335" s="301" t="s">
        <v>470</v>
      </c>
      <c r="SIH335" s="301" t="s">
        <v>470</v>
      </c>
      <c r="SII335" s="301" t="s">
        <v>470</v>
      </c>
      <c r="SIJ335" s="301" t="s">
        <v>470</v>
      </c>
      <c r="SIK335" s="301" t="s">
        <v>470</v>
      </c>
      <c r="SIL335" s="301" t="s">
        <v>470</v>
      </c>
      <c r="SIM335" s="301" t="s">
        <v>470</v>
      </c>
      <c r="SIN335" s="301" t="s">
        <v>470</v>
      </c>
      <c r="SIO335" s="301" t="s">
        <v>470</v>
      </c>
      <c r="SIP335" s="301" t="s">
        <v>470</v>
      </c>
      <c r="SIQ335" s="301" t="s">
        <v>470</v>
      </c>
      <c r="SIR335" s="301" t="s">
        <v>470</v>
      </c>
      <c r="SIS335" s="301" t="s">
        <v>470</v>
      </c>
      <c r="SIT335" s="301" t="s">
        <v>470</v>
      </c>
      <c r="SIU335" s="301" t="s">
        <v>470</v>
      </c>
      <c r="SIV335" s="301" t="s">
        <v>470</v>
      </c>
      <c r="SIW335" s="301" t="s">
        <v>470</v>
      </c>
      <c r="SIX335" s="301" t="s">
        <v>470</v>
      </c>
      <c r="SIY335" s="301" t="s">
        <v>470</v>
      </c>
      <c r="SIZ335" s="301" t="s">
        <v>470</v>
      </c>
      <c r="SJA335" s="301" t="s">
        <v>470</v>
      </c>
      <c r="SJB335" s="301" t="s">
        <v>470</v>
      </c>
      <c r="SJC335" s="301" t="s">
        <v>470</v>
      </c>
      <c r="SJD335" s="301" t="s">
        <v>470</v>
      </c>
      <c r="SJE335" s="301" t="s">
        <v>470</v>
      </c>
      <c r="SJF335" s="301" t="s">
        <v>470</v>
      </c>
      <c r="SJG335" s="301" t="s">
        <v>470</v>
      </c>
      <c r="SJH335" s="301" t="s">
        <v>470</v>
      </c>
      <c r="SJI335" s="301" t="s">
        <v>470</v>
      </c>
      <c r="SJJ335" s="301" t="s">
        <v>470</v>
      </c>
      <c r="SJK335" s="301" t="s">
        <v>470</v>
      </c>
      <c r="SJL335" s="301" t="s">
        <v>470</v>
      </c>
      <c r="SJM335" s="301" t="s">
        <v>470</v>
      </c>
      <c r="SJN335" s="301" t="s">
        <v>470</v>
      </c>
      <c r="SJO335" s="301" t="s">
        <v>470</v>
      </c>
      <c r="SJP335" s="301" t="s">
        <v>470</v>
      </c>
      <c r="SJQ335" s="301" t="s">
        <v>470</v>
      </c>
      <c r="SJR335" s="301" t="s">
        <v>470</v>
      </c>
      <c r="SJS335" s="301" t="s">
        <v>470</v>
      </c>
      <c r="SJT335" s="301" t="s">
        <v>470</v>
      </c>
      <c r="SJU335" s="301" t="s">
        <v>470</v>
      </c>
      <c r="SJV335" s="301" t="s">
        <v>470</v>
      </c>
      <c r="SJW335" s="301" t="s">
        <v>470</v>
      </c>
      <c r="SJX335" s="301" t="s">
        <v>470</v>
      </c>
      <c r="SJY335" s="301" t="s">
        <v>470</v>
      </c>
      <c r="SJZ335" s="301" t="s">
        <v>470</v>
      </c>
      <c r="SKA335" s="301" t="s">
        <v>470</v>
      </c>
      <c r="SKB335" s="301" t="s">
        <v>470</v>
      </c>
      <c r="SKC335" s="301" t="s">
        <v>470</v>
      </c>
      <c r="SKD335" s="301" t="s">
        <v>470</v>
      </c>
      <c r="SKE335" s="301" t="s">
        <v>470</v>
      </c>
      <c r="SKF335" s="301" t="s">
        <v>470</v>
      </c>
      <c r="SKG335" s="301" t="s">
        <v>470</v>
      </c>
      <c r="SKH335" s="301" t="s">
        <v>470</v>
      </c>
      <c r="SKI335" s="301" t="s">
        <v>470</v>
      </c>
      <c r="SKJ335" s="301" t="s">
        <v>470</v>
      </c>
      <c r="SKK335" s="301" t="s">
        <v>470</v>
      </c>
      <c r="SKL335" s="301" t="s">
        <v>470</v>
      </c>
      <c r="SKM335" s="301" t="s">
        <v>470</v>
      </c>
      <c r="SKN335" s="301" t="s">
        <v>470</v>
      </c>
      <c r="SKO335" s="301" t="s">
        <v>470</v>
      </c>
      <c r="SKP335" s="301" t="s">
        <v>470</v>
      </c>
      <c r="SKQ335" s="301" t="s">
        <v>470</v>
      </c>
      <c r="SKR335" s="301" t="s">
        <v>470</v>
      </c>
      <c r="SKS335" s="301" t="s">
        <v>470</v>
      </c>
      <c r="SKT335" s="301" t="s">
        <v>470</v>
      </c>
      <c r="SKU335" s="301" t="s">
        <v>470</v>
      </c>
      <c r="SKV335" s="301" t="s">
        <v>470</v>
      </c>
      <c r="SKW335" s="301" t="s">
        <v>470</v>
      </c>
      <c r="SKX335" s="301" t="s">
        <v>470</v>
      </c>
      <c r="SKY335" s="301" t="s">
        <v>470</v>
      </c>
      <c r="SKZ335" s="301" t="s">
        <v>470</v>
      </c>
      <c r="SLA335" s="301" t="s">
        <v>470</v>
      </c>
      <c r="SLB335" s="301" t="s">
        <v>470</v>
      </c>
      <c r="SLC335" s="301" t="s">
        <v>470</v>
      </c>
      <c r="SLD335" s="301" t="s">
        <v>470</v>
      </c>
      <c r="SLE335" s="301" t="s">
        <v>470</v>
      </c>
      <c r="SLF335" s="301" t="s">
        <v>470</v>
      </c>
      <c r="SLG335" s="301" t="s">
        <v>470</v>
      </c>
      <c r="SLH335" s="301" t="s">
        <v>470</v>
      </c>
      <c r="SLI335" s="301" t="s">
        <v>470</v>
      </c>
      <c r="SLJ335" s="301" t="s">
        <v>470</v>
      </c>
      <c r="SLK335" s="301" t="s">
        <v>470</v>
      </c>
      <c r="SLL335" s="301" t="s">
        <v>470</v>
      </c>
      <c r="SLM335" s="301" t="s">
        <v>470</v>
      </c>
      <c r="SLN335" s="301" t="s">
        <v>470</v>
      </c>
      <c r="SLO335" s="301" t="s">
        <v>470</v>
      </c>
      <c r="SLP335" s="301" t="s">
        <v>470</v>
      </c>
      <c r="SLQ335" s="301" t="s">
        <v>470</v>
      </c>
      <c r="SLR335" s="301" t="s">
        <v>470</v>
      </c>
      <c r="SLS335" s="301" t="s">
        <v>470</v>
      </c>
      <c r="SLT335" s="301" t="s">
        <v>470</v>
      </c>
      <c r="SLU335" s="301" t="s">
        <v>470</v>
      </c>
      <c r="SLV335" s="301" t="s">
        <v>470</v>
      </c>
      <c r="SLW335" s="301" t="s">
        <v>470</v>
      </c>
      <c r="SLX335" s="301" t="s">
        <v>470</v>
      </c>
      <c r="SLY335" s="301" t="s">
        <v>470</v>
      </c>
      <c r="SLZ335" s="301" t="s">
        <v>470</v>
      </c>
      <c r="SMA335" s="301" t="s">
        <v>470</v>
      </c>
      <c r="SMB335" s="301" t="s">
        <v>470</v>
      </c>
      <c r="SMC335" s="301" t="s">
        <v>470</v>
      </c>
      <c r="SMD335" s="301" t="s">
        <v>470</v>
      </c>
      <c r="SME335" s="301" t="s">
        <v>470</v>
      </c>
      <c r="SMF335" s="301" t="s">
        <v>470</v>
      </c>
      <c r="SMG335" s="301" t="s">
        <v>470</v>
      </c>
      <c r="SMH335" s="301" t="s">
        <v>470</v>
      </c>
      <c r="SMI335" s="301" t="s">
        <v>470</v>
      </c>
      <c r="SMJ335" s="301" t="s">
        <v>470</v>
      </c>
      <c r="SMK335" s="301" t="s">
        <v>470</v>
      </c>
      <c r="SML335" s="301" t="s">
        <v>470</v>
      </c>
      <c r="SMM335" s="301" t="s">
        <v>470</v>
      </c>
      <c r="SMN335" s="301" t="s">
        <v>470</v>
      </c>
      <c r="SMO335" s="301" t="s">
        <v>470</v>
      </c>
      <c r="SMP335" s="301" t="s">
        <v>470</v>
      </c>
      <c r="SMQ335" s="301" t="s">
        <v>470</v>
      </c>
      <c r="SMR335" s="301" t="s">
        <v>470</v>
      </c>
      <c r="SMS335" s="301" t="s">
        <v>470</v>
      </c>
      <c r="SMT335" s="301" t="s">
        <v>470</v>
      </c>
      <c r="SMU335" s="301" t="s">
        <v>470</v>
      </c>
      <c r="SMV335" s="301" t="s">
        <v>470</v>
      </c>
      <c r="SMW335" s="301" t="s">
        <v>470</v>
      </c>
      <c r="SMX335" s="301" t="s">
        <v>470</v>
      </c>
      <c r="SMY335" s="301" t="s">
        <v>470</v>
      </c>
      <c r="SMZ335" s="301" t="s">
        <v>470</v>
      </c>
      <c r="SNA335" s="301" t="s">
        <v>470</v>
      </c>
      <c r="SNB335" s="301" t="s">
        <v>470</v>
      </c>
      <c r="SNC335" s="301" t="s">
        <v>470</v>
      </c>
      <c r="SND335" s="301" t="s">
        <v>470</v>
      </c>
      <c r="SNE335" s="301" t="s">
        <v>470</v>
      </c>
      <c r="SNF335" s="301" t="s">
        <v>470</v>
      </c>
      <c r="SNG335" s="301" t="s">
        <v>470</v>
      </c>
      <c r="SNH335" s="301" t="s">
        <v>470</v>
      </c>
      <c r="SNI335" s="301" t="s">
        <v>470</v>
      </c>
      <c r="SNJ335" s="301" t="s">
        <v>470</v>
      </c>
      <c r="SNK335" s="301" t="s">
        <v>470</v>
      </c>
      <c r="SNL335" s="301" t="s">
        <v>470</v>
      </c>
      <c r="SNM335" s="301" t="s">
        <v>470</v>
      </c>
      <c r="SNN335" s="301" t="s">
        <v>470</v>
      </c>
      <c r="SNO335" s="301" t="s">
        <v>470</v>
      </c>
      <c r="SNP335" s="301" t="s">
        <v>470</v>
      </c>
      <c r="SNQ335" s="301" t="s">
        <v>470</v>
      </c>
      <c r="SNR335" s="301" t="s">
        <v>470</v>
      </c>
      <c r="SNS335" s="301" t="s">
        <v>470</v>
      </c>
      <c r="SNT335" s="301" t="s">
        <v>470</v>
      </c>
      <c r="SNU335" s="301" t="s">
        <v>470</v>
      </c>
      <c r="SNV335" s="301" t="s">
        <v>470</v>
      </c>
      <c r="SNW335" s="301" t="s">
        <v>470</v>
      </c>
      <c r="SNX335" s="301" t="s">
        <v>470</v>
      </c>
      <c r="SNY335" s="301" t="s">
        <v>470</v>
      </c>
      <c r="SNZ335" s="301" t="s">
        <v>470</v>
      </c>
      <c r="SOA335" s="301" t="s">
        <v>470</v>
      </c>
      <c r="SOB335" s="301" t="s">
        <v>470</v>
      </c>
      <c r="SOC335" s="301" t="s">
        <v>470</v>
      </c>
      <c r="SOD335" s="301" t="s">
        <v>470</v>
      </c>
      <c r="SOE335" s="301" t="s">
        <v>470</v>
      </c>
      <c r="SOF335" s="301" t="s">
        <v>470</v>
      </c>
      <c r="SOG335" s="301" t="s">
        <v>470</v>
      </c>
      <c r="SOH335" s="301" t="s">
        <v>470</v>
      </c>
      <c r="SOI335" s="301" t="s">
        <v>470</v>
      </c>
      <c r="SOJ335" s="301" t="s">
        <v>470</v>
      </c>
      <c r="SOK335" s="301" t="s">
        <v>470</v>
      </c>
      <c r="SOL335" s="301" t="s">
        <v>470</v>
      </c>
      <c r="SOM335" s="301" t="s">
        <v>470</v>
      </c>
      <c r="SON335" s="301" t="s">
        <v>470</v>
      </c>
      <c r="SOO335" s="301" t="s">
        <v>470</v>
      </c>
      <c r="SOP335" s="301" t="s">
        <v>470</v>
      </c>
      <c r="SOQ335" s="301" t="s">
        <v>470</v>
      </c>
      <c r="SOR335" s="301" t="s">
        <v>470</v>
      </c>
      <c r="SOS335" s="301" t="s">
        <v>470</v>
      </c>
      <c r="SOT335" s="301" t="s">
        <v>470</v>
      </c>
      <c r="SOU335" s="301" t="s">
        <v>470</v>
      </c>
      <c r="SOV335" s="301" t="s">
        <v>470</v>
      </c>
      <c r="SOW335" s="301" t="s">
        <v>470</v>
      </c>
      <c r="SOX335" s="301" t="s">
        <v>470</v>
      </c>
      <c r="SOY335" s="301" t="s">
        <v>470</v>
      </c>
      <c r="SOZ335" s="301" t="s">
        <v>470</v>
      </c>
      <c r="SPA335" s="301" t="s">
        <v>470</v>
      </c>
      <c r="SPB335" s="301" t="s">
        <v>470</v>
      </c>
      <c r="SPC335" s="301" t="s">
        <v>470</v>
      </c>
      <c r="SPD335" s="301" t="s">
        <v>470</v>
      </c>
      <c r="SPE335" s="301" t="s">
        <v>470</v>
      </c>
      <c r="SPF335" s="301" t="s">
        <v>470</v>
      </c>
      <c r="SPG335" s="301" t="s">
        <v>470</v>
      </c>
      <c r="SPH335" s="301" t="s">
        <v>470</v>
      </c>
      <c r="SPI335" s="301" t="s">
        <v>470</v>
      </c>
      <c r="SPJ335" s="301" t="s">
        <v>470</v>
      </c>
      <c r="SPK335" s="301" t="s">
        <v>470</v>
      </c>
      <c r="SPL335" s="301" t="s">
        <v>470</v>
      </c>
      <c r="SPM335" s="301" t="s">
        <v>470</v>
      </c>
      <c r="SPN335" s="301" t="s">
        <v>470</v>
      </c>
      <c r="SPO335" s="301" t="s">
        <v>470</v>
      </c>
      <c r="SPP335" s="301" t="s">
        <v>470</v>
      </c>
      <c r="SPQ335" s="301" t="s">
        <v>470</v>
      </c>
      <c r="SPR335" s="301" t="s">
        <v>470</v>
      </c>
      <c r="SPS335" s="301" t="s">
        <v>470</v>
      </c>
      <c r="SPT335" s="301" t="s">
        <v>470</v>
      </c>
      <c r="SPU335" s="301" t="s">
        <v>470</v>
      </c>
      <c r="SPV335" s="301" t="s">
        <v>470</v>
      </c>
      <c r="SPW335" s="301" t="s">
        <v>470</v>
      </c>
      <c r="SPX335" s="301" t="s">
        <v>470</v>
      </c>
      <c r="SPY335" s="301" t="s">
        <v>470</v>
      </c>
      <c r="SPZ335" s="301" t="s">
        <v>470</v>
      </c>
      <c r="SQA335" s="301" t="s">
        <v>470</v>
      </c>
      <c r="SQB335" s="301" t="s">
        <v>470</v>
      </c>
      <c r="SQC335" s="301" t="s">
        <v>470</v>
      </c>
      <c r="SQD335" s="301" t="s">
        <v>470</v>
      </c>
      <c r="SQE335" s="301" t="s">
        <v>470</v>
      </c>
      <c r="SQF335" s="301" t="s">
        <v>470</v>
      </c>
      <c r="SQG335" s="301" t="s">
        <v>470</v>
      </c>
      <c r="SQH335" s="301" t="s">
        <v>470</v>
      </c>
      <c r="SQI335" s="301" t="s">
        <v>470</v>
      </c>
      <c r="SQJ335" s="301" t="s">
        <v>470</v>
      </c>
      <c r="SQK335" s="301" t="s">
        <v>470</v>
      </c>
      <c r="SQL335" s="301" t="s">
        <v>470</v>
      </c>
      <c r="SQM335" s="301" t="s">
        <v>470</v>
      </c>
      <c r="SQN335" s="301" t="s">
        <v>470</v>
      </c>
      <c r="SQO335" s="301" t="s">
        <v>470</v>
      </c>
      <c r="SQP335" s="301" t="s">
        <v>470</v>
      </c>
      <c r="SQQ335" s="301" t="s">
        <v>470</v>
      </c>
      <c r="SQR335" s="301" t="s">
        <v>470</v>
      </c>
      <c r="SQS335" s="301" t="s">
        <v>470</v>
      </c>
      <c r="SQT335" s="301" t="s">
        <v>470</v>
      </c>
      <c r="SQU335" s="301" t="s">
        <v>470</v>
      </c>
      <c r="SQV335" s="301" t="s">
        <v>470</v>
      </c>
      <c r="SQW335" s="301" t="s">
        <v>470</v>
      </c>
      <c r="SQX335" s="301" t="s">
        <v>470</v>
      </c>
      <c r="SQY335" s="301" t="s">
        <v>470</v>
      </c>
      <c r="SQZ335" s="301" t="s">
        <v>470</v>
      </c>
      <c r="SRA335" s="301" t="s">
        <v>470</v>
      </c>
      <c r="SRB335" s="301" t="s">
        <v>470</v>
      </c>
      <c r="SRC335" s="301" t="s">
        <v>470</v>
      </c>
      <c r="SRD335" s="301" t="s">
        <v>470</v>
      </c>
      <c r="SRE335" s="301" t="s">
        <v>470</v>
      </c>
      <c r="SRF335" s="301" t="s">
        <v>470</v>
      </c>
      <c r="SRG335" s="301" t="s">
        <v>470</v>
      </c>
      <c r="SRH335" s="301" t="s">
        <v>470</v>
      </c>
      <c r="SRI335" s="301" t="s">
        <v>470</v>
      </c>
      <c r="SRJ335" s="301" t="s">
        <v>470</v>
      </c>
      <c r="SRK335" s="301" t="s">
        <v>470</v>
      </c>
      <c r="SRL335" s="301" t="s">
        <v>470</v>
      </c>
      <c r="SRM335" s="301" t="s">
        <v>470</v>
      </c>
      <c r="SRN335" s="301" t="s">
        <v>470</v>
      </c>
      <c r="SRO335" s="301" t="s">
        <v>470</v>
      </c>
      <c r="SRP335" s="301" t="s">
        <v>470</v>
      </c>
      <c r="SRQ335" s="301" t="s">
        <v>470</v>
      </c>
      <c r="SRR335" s="301" t="s">
        <v>470</v>
      </c>
      <c r="SRS335" s="301" t="s">
        <v>470</v>
      </c>
      <c r="SRT335" s="301" t="s">
        <v>470</v>
      </c>
      <c r="SRU335" s="301" t="s">
        <v>470</v>
      </c>
      <c r="SRV335" s="301" t="s">
        <v>470</v>
      </c>
      <c r="SRW335" s="301" t="s">
        <v>470</v>
      </c>
      <c r="SRX335" s="301" t="s">
        <v>470</v>
      </c>
      <c r="SRY335" s="301" t="s">
        <v>470</v>
      </c>
      <c r="SRZ335" s="301" t="s">
        <v>470</v>
      </c>
      <c r="SSA335" s="301" t="s">
        <v>470</v>
      </c>
      <c r="SSB335" s="301" t="s">
        <v>470</v>
      </c>
      <c r="SSC335" s="301" t="s">
        <v>470</v>
      </c>
      <c r="SSD335" s="301" t="s">
        <v>470</v>
      </c>
      <c r="SSE335" s="301" t="s">
        <v>470</v>
      </c>
      <c r="SSF335" s="301" t="s">
        <v>470</v>
      </c>
      <c r="SSG335" s="301" t="s">
        <v>470</v>
      </c>
      <c r="SSH335" s="301" t="s">
        <v>470</v>
      </c>
      <c r="SSI335" s="301" t="s">
        <v>470</v>
      </c>
      <c r="SSJ335" s="301" t="s">
        <v>470</v>
      </c>
      <c r="SSK335" s="301" t="s">
        <v>470</v>
      </c>
      <c r="SSL335" s="301" t="s">
        <v>470</v>
      </c>
      <c r="SSM335" s="301" t="s">
        <v>470</v>
      </c>
      <c r="SSN335" s="301" t="s">
        <v>470</v>
      </c>
      <c r="SSO335" s="301" t="s">
        <v>470</v>
      </c>
      <c r="SSP335" s="301" t="s">
        <v>470</v>
      </c>
      <c r="SSQ335" s="301" t="s">
        <v>470</v>
      </c>
      <c r="SSR335" s="301" t="s">
        <v>470</v>
      </c>
      <c r="SSS335" s="301" t="s">
        <v>470</v>
      </c>
      <c r="SST335" s="301" t="s">
        <v>470</v>
      </c>
      <c r="SSU335" s="301" t="s">
        <v>470</v>
      </c>
      <c r="SSV335" s="301" t="s">
        <v>470</v>
      </c>
      <c r="SSW335" s="301" t="s">
        <v>470</v>
      </c>
      <c r="SSX335" s="301" t="s">
        <v>470</v>
      </c>
      <c r="SSY335" s="301" t="s">
        <v>470</v>
      </c>
      <c r="SSZ335" s="301" t="s">
        <v>470</v>
      </c>
      <c r="STA335" s="301" t="s">
        <v>470</v>
      </c>
      <c r="STB335" s="301" t="s">
        <v>470</v>
      </c>
      <c r="STC335" s="301" t="s">
        <v>470</v>
      </c>
      <c r="STD335" s="301" t="s">
        <v>470</v>
      </c>
      <c r="STE335" s="301" t="s">
        <v>470</v>
      </c>
      <c r="STF335" s="301" t="s">
        <v>470</v>
      </c>
      <c r="STG335" s="301" t="s">
        <v>470</v>
      </c>
      <c r="STH335" s="301" t="s">
        <v>470</v>
      </c>
      <c r="STI335" s="301" t="s">
        <v>470</v>
      </c>
      <c r="STJ335" s="301" t="s">
        <v>470</v>
      </c>
      <c r="STK335" s="301" t="s">
        <v>470</v>
      </c>
      <c r="STL335" s="301" t="s">
        <v>470</v>
      </c>
      <c r="STM335" s="301" t="s">
        <v>470</v>
      </c>
      <c r="STN335" s="301" t="s">
        <v>470</v>
      </c>
      <c r="STO335" s="301" t="s">
        <v>470</v>
      </c>
      <c r="STP335" s="301" t="s">
        <v>470</v>
      </c>
      <c r="STQ335" s="301" t="s">
        <v>470</v>
      </c>
      <c r="STR335" s="301" t="s">
        <v>470</v>
      </c>
      <c r="STS335" s="301" t="s">
        <v>470</v>
      </c>
      <c r="STT335" s="301" t="s">
        <v>470</v>
      </c>
      <c r="STU335" s="301" t="s">
        <v>470</v>
      </c>
      <c r="STV335" s="301" t="s">
        <v>470</v>
      </c>
      <c r="STW335" s="301" t="s">
        <v>470</v>
      </c>
      <c r="STX335" s="301" t="s">
        <v>470</v>
      </c>
      <c r="STY335" s="301" t="s">
        <v>470</v>
      </c>
      <c r="STZ335" s="301" t="s">
        <v>470</v>
      </c>
      <c r="SUA335" s="301" t="s">
        <v>470</v>
      </c>
      <c r="SUB335" s="301" t="s">
        <v>470</v>
      </c>
      <c r="SUC335" s="301" t="s">
        <v>470</v>
      </c>
      <c r="SUD335" s="301" t="s">
        <v>470</v>
      </c>
      <c r="SUE335" s="301" t="s">
        <v>470</v>
      </c>
      <c r="SUF335" s="301" t="s">
        <v>470</v>
      </c>
      <c r="SUG335" s="301" t="s">
        <v>470</v>
      </c>
      <c r="SUH335" s="301" t="s">
        <v>470</v>
      </c>
      <c r="SUI335" s="301" t="s">
        <v>470</v>
      </c>
      <c r="SUJ335" s="301" t="s">
        <v>470</v>
      </c>
      <c r="SUK335" s="301" t="s">
        <v>470</v>
      </c>
      <c r="SUL335" s="301" t="s">
        <v>470</v>
      </c>
      <c r="SUM335" s="301" t="s">
        <v>470</v>
      </c>
      <c r="SUN335" s="301" t="s">
        <v>470</v>
      </c>
      <c r="SUO335" s="301" t="s">
        <v>470</v>
      </c>
      <c r="SUP335" s="301" t="s">
        <v>470</v>
      </c>
      <c r="SUQ335" s="301" t="s">
        <v>470</v>
      </c>
      <c r="SUR335" s="301" t="s">
        <v>470</v>
      </c>
      <c r="SUS335" s="301" t="s">
        <v>470</v>
      </c>
      <c r="SUT335" s="301" t="s">
        <v>470</v>
      </c>
      <c r="SUU335" s="301" t="s">
        <v>470</v>
      </c>
      <c r="SUV335" s="301" t="s">
        <v>470</v>
      </c>
      <c r="SUW335" s="301" t="s">
        <v>470</v>
      </c>
      <c r="SUX335" s="301" t="s">
        <v>470</v>
      </c>
      <c r="SUY335" s="301" t="s">
        <v>470</v>
      </c>
      <c r="SUZ335" s="301" t="s">
        <v>470</v>
      </c>
      <c r="SVA335" s="301" t="s">
        <v>470</v>
      </c>
      <c r="SVB335" s="301" t="s">
        <v>470</v>
      </c>
      <c r="SVC335" s="301" t="s">
        <v>470</v>
      </c>
      <c r="SVD335" s="301" t="s">
        <v>470</v>
      </c>
      <c r="SVE335" s="301" t="s">
        <v>470</v>
      </c>
      <c r="SVF335" s="301" t="s">
        <v>470</v>
      </c>
      <c r="SVG335" s="301" t="s">
        <v>470</v>
      </c>
      <c r="SVH335" s="301" t="s">
        <v>470</v>
      </c>
      <c r="SVI335" s="301" t="s">
        <v>470</v>
      </c>
      <c r="SVJ335" s="301" t="s">
        <v>470</v>
      </c>
      <c r="SVK335" s="301" t="s">
        <v>470</v>
      </c>
      <c r="SVL335" s="301" t="s">
        <v>470</v>
      </c>
      <c r="SVM335" s="301" t="s">
        <v>470</v>
      </c>
      <c r="SVN335" s="301" t="s">
        <v>470</v>
      </c>
      <c r="SVO335" s="301" t="s">
        <v>470</v>
      </c>
      <c r="SVP335" s="301" t="s">
        <v>470</v>
      </c>
      <c r="SVQ335" s="301" t="s">
        <v>470</v>
      </c>
      <c r="SVR335" s="301" t="s">
        <v>470</v>
      </c>
      <c r="SVS335" s="301" t="s">
        <v>470</v>
      </c>
      <c r="SVT335" s="301" t="s">
        <v>470</v>
      </c>
      <c r="SVU335" s="301" t="s">
        <v>470</v>
      </c>
      <c r="SVV335" s="301" t="s">
        <v>470</v>
      </c>
      <c r="SVW335" s="301" t="s">
        <v>470</v>
      </c>
      <c r="SVX335" s="301" t="s">
        <v>470</v>
      </c>
      <c r="SVY335" s="301" t="s">
        <v>470</v>
      </c>
      <c r="SVZ335" s="301" t="s">
        <v>470</v>
      </c>
      <c r="SWA335" s="301" t="s">
        <v>470</v>
      </c>
      <c r="SWB335" s="301" t="s">
        <v>470</v>
      </c>
      <c r="SWC335" s="301" t="s">
        <v>470</v>
      </c>
      <c r="SWD335" s="301" t="s">
        <v>470</v>
      </c>
      <c r="SWE335" s="301" t="s">
        <v>470</v>
      </c>
      <c r="SWF335" s="301" t="s">
        <v>470</v>
      </c>
      <c r="SWG335" s="301" t="s">
        <v>470</v>
      </c>
      <c r="SWH335" s="301" t="s">
        <v>470</v>
      </c>
      <c r="SWI335" s="301" t="s">
        <v>470</v>
      </c>
      <c r="SWJ335" s="301" t="s">
        <v>470</v>
      </c>
      <c r="SWK335" s="301" t="s">
        <v>470</v>
      </c>
      <c r="SWL335" s="301" t="s">
        <v>470</v>
      </c>
      <c r="SWM335" s="301" t="s">
        <v>470</v>
      </c>
      <c r="SWN335" s="301" t="s">
        <v>470</v>
      </c>
      <c r="SWO335" s="301" t="s">
        <v>470</v>
      </c>
      <c r="SWP335" s="301" t="s">
        <v>470</v>
      </c>
      <c r="SWQ335" s="301" t="s">
        <v>470</v>
      </c>
      <c r="SWR335" s="301" t="s">
        <v>470</v>
      </c>
      <c r="SWS335" s="301" t="s">
        <v>470</v>
      </c>
      <c r="SWT335" s="301" t="s">
        <v>470</v>
      </c>
      <c r="SWU335" s="301" t="s">
        <v>470</v>
      </c>
      <c r="SWV335" s="301" t="s">
        <v>470</v>
      </c>
      <c r="SWW335" s="301" t="s">
        <v>470</v>
      </c>
      <c r="SWX335" s="301" t="s">
        <v>470</v>
      </c>
      <c r="SWY335" s="301" t="s">
        <v>470</v>
      </c>
      <c r="SWZ335" s="301" t="s">
        <v>470</v>
      </c>
      <c r="SXA335" s="301" t="s">
        <v>470</v>
      </c>
      <c r="SXB335" s="301" t="s">
        <v>470</v>
      </c>
      <c r="SXC335" s="301" t="s">
        <v>470</v>
      </c>
      <c r="SXD335" s="301" t="s">
        <v>470</v>
      </c>
      <c r="SXE335" s="301" t="s">
        <v>470</v>
      </c>
      <c r="SXF335" s="301" t="s">
        <v>470</v>
      </c>
      <c r="SXG335" s="301" t="s">
        <v>470</v>
      </c>
      <c r="SXH335" s="301" t="s">
        <v>470</v>
      </c>
      <c r="SXI335" s="301" t="s">
        <v>470</v>
      </c>
      <c r="SXJ335" s="301" t="s">
        <v>470</v>
      </c>
      <c r="SXK335" s="301" t="s">
        <v>470</v>
      </c>
      <c r="SXL335" s="301" t="s">
        <v>470</v>
      </c>
      <c r="SXM335" s="301" t="s">
        <v>470</v>
      </c>
      <c r="SXN335" s="301" t="s">
        <v>470</v>
      </c>
      <c r="SXO335" s="301" t="s">
        <v>470</v>
      </c>
      <c r="SXP335" s="301" t="s">
        <v>470</v>
      </c>
      <c r="SXQ335" s="301" t="s">
        <v>470</v>
      </c>
      <c r="SXR335" s="301" t="s">
        <v>470</v>
      </c>
      <c r="SXS335" s="301" t="s">
        <v>470</v>
      </c>
      <c r="SXT335" s="301" t="s">
        <v>470</v>
      </c>
      <c r="SXU335" s="301" t="s">
        <v>470</v>
      </c>
      <c r="SXV335" s="301" t="s">
        <v>470</v>
      </c>
      <c r="SXW335" s="301" t="s">
        <v>470</v>
      </c>
      <c r="SXX335" s="301" t="s">
        <v>470</v>
      </c>
      <c r="SXY335" s="301" t="s">
        <v>470</v>
      </c>
      <c r="SXZ335" s="301" t="s">
        <v>470</v>
      </c>
      <c r="SYA335" s="301" t="s">
        <v>470</v>
      </c>
      <c r="SYB335" s="301" t="s">
        <v>470</v>
      </c>
      <c r="SYC335" s="301" t="s">
        <v>470</v>
      </c>
      <c r="SYD335" s="301" t="s">
        <v>470</v>
      </c>
      <c r="SYE335" s="301" t="s">
        <v>470</v>
      </c>
      <c r="SYF335" s="301" t="s">
        <v>470</v>
      </c>
      <c r="SYG335" s="301" t="s">
        <v>470</v>
      </c>
      <c r="SYH335" s="301" t="s">
        <v>470</v>
      </c>
      <c r="SYI335" s="301" t="s">
        <v>470</v>
      </c>
      <c r="SYJ335" s="301" t="s">
        <v>470</v>
      </c>
      <c r="SYK335" s="301" t="s">
        <v>470</v>
      </c>
      <c r="SYL335" s="301" t="s">
        <v>470</v>
      </c>
      <c r="SYM335" s="301" t="s">
        <v>470</v>
      </c>
      <c r="SYN335" s="301" t="s">
        <v>470</v>
      </c>
      <c r="SYO335" s="301" t="s">
        <v>470</v>
      </c>
      <c r="SYP335" s="301" t="s">
        <v>470</v>
      </c>
      <c r="SYQ335" s="301" t="s">
        <v>470</v>
      </c>
      <c r="SYR335" s="301" t="s">
        <v>470</v>
      </c>
      <c r="SYS335" s="301" t="s">
        <v>470</v>
      </c>
      <c r="SYT335" s="301" t="s">
        <v>470</v>
      </c>
      <c r="SYU335" s="301" t="s">
        <v>470</v>
      </c>
      <c r="SYV335" s="301" t="s">
        <v>470</v>
      </c>
      <c r="SYW335" s="301" t="s">
        <v>470</v>
      </c>
      <c r="SYX335" s="301" t="s">
        <v>470</v>
      </c>
      <c r="SYY335" s="301" t="s">
        <v>470</v>
      </c>
      <c r="SYZ335" s="301" t="s">
        <v>470</v>
      </c>
      <c r="SZA335" s="301" t="s">
        <v>470</v>
      </c>
      <c r="SZB335" s="301" t="s">
        <v>470</v>
      </c>
      <c r="SZC335" s="301" t="s">
        <v>470</v>
      </c>
      <c r="SZD335" s="301" t="s">
        <v>470</v>
      </c>
      <c r="SZE335" s="301" t="s">
        <v>470</v>
      </c>
      <c r="SZF335" s="301" t="s">
        <v>470</v>
      </c>
      <c r="SZG335" s="301" t="s">
        <v>470</v>
      </c>
      <c r="SZH335" s="301" t="s">
        <v>470</v>
      </c>
      <c r="SZI335" s="301" t="s">
        <v>470</v>
      </c>
      <c r="SZJ335" s="301" t="s">
        <v>470</v>
      </c>
      <c r="SZK335" s="301" t="s">
        <v>470</v>
      </c>
      <c r="SZL335" s="301" t="s">
        <v>470</v>
      </c>
      <c r="SZM335" s="301" t="s">
        <v>470</v>
      </c>
      <c r="SZN335" s="301" t="s">
        <v>470</v>
      </c>
      <c r="SZO335" s="301" t="s">
        <v>470</v>
      </c>
      <c r="SZP335" s="301" t="s">
        <v>470</v>
      </c>
      <c r="SZQ335" s="301" t="s">
        <v>470</v>
      </c>
      <c r="SZR335" s="301" t="s">
        <v>470</v>
      </c>
      <c r="SZS335" s="301" t="s">
        <v>470</v>
      </c>
      <c r="SZT335" s="301" t="s">
        <v>470</v>
      </c>
      <c r="SZU335" s="301" t="s">
        <v>470</v>
      </c>
      <c r="SZV335" s="301" t="s">
        <v>470</v>
      </c>
      <c r="SZW335" s="301" t="s">
        <v>470</v>
      </c>
      <c r="SZX335" s="301" t="s">
        <v>470</v>
      </c>
      <c r="SZY335" s="301" t="s">
        <v>470</v>
      </c>
      <c r="SZZ335" s="301" t="s">
        <v>470</v>
      </c>
      <c r="TAA335" s="301" t="s">
        <v>470</v>
      </c>
      <c r="TAB335" s="301" t="s">
        <v>470</v>
      </c>
      <c r="TAC335" s="301" t="s">
        <v>470</v>
      </c>
      <c r="TAD335" s="301" t="s">
        <v>470</v>
      </c>
      <c r="TAE335" s="301" t="s">
        <v>470</v>
      </c>
      <c r="TAF335" s="301" t="s">
        <v>470</v>
      </c>
      <c r="TAG335" s="301" t="s">
        <v>470</v>
      </c>
      <c r="TAH335" s="301" t="s">
        <v>470</v>
      </c>
      <c r="TAI335" s="301" t="s">
        <v>470</v>
      </c>
      <c r="TAJ335" s="301" t="s">
        <v>470</v>
      </c>
      <c r="TAK335" s="301" t="s">
        <v>470</v>
      </c>
      <c r="TAL335" s="301" t="s">
        <v>470</v>
      </c>
      <c r="TAM335" s="301" t="s">
        <v>470</v>
      </c>
      <c r="TAN335" s="301" t="s">
        <v>470</v>
      </c>
      <c r="TAO335" s="301" t="s">
        <v>470</v>
      </c>
      <c r="TAP335" s="301" t="s">
        <v>470</v>
      </c>
      <c r="TAQ335" s="301" t="s">
        <v>470</v>
      </c>
      <c r="TAR335" s="301" t="s">
        <v>470</v>
      </c>
      <c r="TAS335" s="301" t="s">
        <v>470</v>
      </c>
      <c r="TAT335" s="301" t="s">
        <v>470</v>
      </c>
      <c r="TAU335" s="301" t="s">
        <v>470</v>
      </c>
      <c r="TAV335" s="301" t="s">
        <v>470</v>
      </c>
      <c r="TAW335" s="301" t="s">
        <v>470</v>
      </c>
      <c r="TAX335" s="301" t="s">
        <v>470</v>
      </c>
      <c r="TAY335" s="301" t="s">
        <v>470</v>
      </c>
      <c r="TAZ335" s="301" t="s">
        <v>470</v>
      </c>
      <c r="TBA335" s="301" t="s">
        <v>470</v>
      </c>
      <c r="TBB335" s="301" t="s">
        <v>470</v>
      </c>
      <c r="TBC335" s="301" t="s">
        <v>470</v>
      </c>
      <c r="TBD335" s="301" t="s">
        <v>470</v>
      </c>
      <c r="TBE335" s="301" t="s">
        <v>470</v>
      </c>
      <c r="TBF335" s="301" t="s">
        <v>470</v>
      </c>
      <c r="TBG335" s="301" t="s">
        <v>470</v>
      </c>
      <c r="TBH335" s="301" t="s">
        <v>470</v>
      </c>
      <c r="TBI335" s="301" t="s">
        <v>470</v>
      </c>
      <c r="TBJ335" s="301" t="s">
        <v>470</v>
      </c>
      <c r="TBK335" s="301" t="s">
        <v>470</v>
      </c>
      <c r="TBL335" s="301" t="s">
        <v>470</v>
      </c>
      <c r="TBM335" s="301" t="s">
        <v>470</v>
      </c>
      <c r="TBN335" s="301" t="s">
        <v>470</v>
      </c>
      <c r="TBO335" s="301" t="s">
        <v>470</v>
      </c>
      <c r="TBP335" s="301" t="s">
        <v>470</v>
      </c>
      <c r="TBQ335" s="301" t="s">
        <v>470</v>
      </c>
      <c r="TBR335" s="301" t="s">
        <v>470</v>
      </c>
      <c r="TBS335" s="301" t="s">
        <v>470</v>
      </c>
      <c r="TBT335" s="301" t="s">
        <v>470</v>
      </c>
      <c r="TBU335" s="301" t="s">
        <v>470</v>
      </c>
      <c r="TBV335" s="301" t="s">
        <v>470</v>
      </c>
      <c r="TBW335" s="301" t="s">
        <v>470</v>
      </c>
      <c r="TBX335" s="301" t="s">
        <v>470</v>
      </c>
      <c r="TBY335" s="301" t="s">
        <v>470</v>
      </c>
      <c r="TBZ335" s="301" t="s">
        <v>470</v>
      </c>
      <c r="TCA335" s="301" t="s">
        <v>470</v>
      </c>
      <c r="TCB335" s="301" t="s">
        <v>470</v>
      </c>
      <c r="TCC335" s="301" t="s">
        <v>470</v>
      </c>
      <c r="TCD335" s="301" t="s">
        <v>470</v>
      </c>
      <c r="TCE335" s="301" t="s">
        <v>470</v>
      </c>
      <c r="TCF335" s="301" t="s">
        <v>470</v>
      </c>
      <c r="TCG335" s="301" t="s">
        <v>470</v>
      </c>
      <c r="TCH335" s="301" t="s">
        <v>470</v>
      </c>
      <c r="TCI335" s="301" t="s">
        <v>470</v>
      </c>
      <c r="TCJ335" s="301" t="s">
        <v>470</v>
      </c>
      <c r="TCK335" s="301" t="s">
        <v>470</v>
      </c>
      <c r="TCL335" s="301" t="s">
        <v>470</v>
      </c>
      <c r="TCM335" s="301" t="s">
        <v>470</v>
      </c>
      <c r="TCN335" s="301" t="s">
        <v>470</v>
      </c>
      <c r="TCO335" s="301" t="s">
        <v>470</v>
      </c>
      <c r="TCP335" s="301" t="s">
        <v>470</v>
      </c>
      <c r="TCQ335" s="301" t="s">
        <v>470</v>
      </c>
      <c r="TCR335" s="301" t="s">
        <v>470</v>
      </c>
      <c r="TCS335" s="301" t="s">
        <v>470</v>
      </c>
      <c r="TCT335" s="301" t="s">
        <v>470</v>
      </c>
      <c r="TCU335" s="301" t="s">
        <v>470</v>
      </c>
      <c r="TCV335" s="301" t="s">
        <v>470</v>
      </c>
      <c r="TCW335" s="301" t="s">
        <v>470</v>
      </c>
      <c r="TCX335" s="301" t="s">
        <v>470</v>
      </c>
      <c r="TCY335" s="301" t="s">
        <v>470</v>
      </c>
      <c r="TCZ335" s="301" t="s">
        <v>470</v>
      </c>
      <c r="TDA335" s="301" t="s">
        <v>470</v>
      </c>
      <c r="TDB335" s="301" t="s">
        <v>470</v>
      </c>
      <c r="TDC335" s="301" t="s">
        <v>470</v>
      </c>
      <c r="TDD335" s="301" t="s">
        <v>470</v>
      </c>
      <c r="TDE335" s="301" t="s">
        <v>470</v>
      </c>
      <c r="TDF335" s="301" t="s">
        <v>470</v>
      </c>
      <c r="TDG335" s="301" t="s">
        <v>470</v>
      </c>
      <c r="TDH335" s="301" t="s">
        <v>470</v>
      </c>
      <c r="TDI335" s="301" t="s">
        <v>470</v>
      </c>
      <c r="TDJ335" s="301" t="s">
        <v>470</v>
      </c>
      <c r="TDK335" s="301" t="s">
        <v>470</v>
      </c>
      <c r="TDL335" s="301" t="s">
        <v>470</v>
      </c>
      <c r="TDM335" s="301" t="s">
        <v>470</v>
      </c>
      <c r="TDN335" s="301" t="s">
        <v>470</v>
      </c>
      <c r="TDO335" s="301" t="s">
        <v>470</v>
      </c>
      <c r="TDP335" s="301" t="s">
        <v>470</v>
      </c>
      <c r="TDQ335" s="301" t="s">
        <v>470</v>
      </c>
      <c r="TDR335" s="301" t="s">
        <v>470</v>
      </c>
      <c r="TDS335" s="301" t="s">
        <v>470</v>
      </c>
      <c r="TDT335" s="301" t="s">
        <v>470</v>
      </c>
      <c r="TDU335" s="301" t="s">
        <v>470</v>
      </c>
      <c r="TDV335" s="301" t="s">
        <v>470</v>
      </c>
      <c r="TDW335" s="301" t="s">
        <v>470</v>
      </c>
      <c r="TDX335" s="301" t="s">
        <v>470</v>
      </c>
      <c r="TDY335" s="301" t="s">
        <v>470</v>
      </c>
      <c r="TDZ335" s="301" t="s">
        <v>470</v>
      </c>
      <c r="TEA335" s="301" t="s">
        <v>470</v>
      </c>
      <c r="TEB335" s="301" t="s">
        <v>470</v>
      </c>
      <c r="TEC335" s="301" t="s">
        <v>470</v>
      </c>
      <c r="TED335" s="301" t="s">
        <v>470</v>
      </c>
      <c r="TEE335" s="301" t="s">
        <v>470</v>
      </c>
      <c r="TEF335" s="301" t="s">
        <v>470</v>
      </c>
      <c r="TEG335" s="301" t="s">
        <v>470</v>
      </c>
      <c r="TEH335" s="301" t="s">
        <v>470</v>
      </c>
      <c r="TEI335" s="301" t="s">
        <v>470</v>
      </c>
      <c r="TEJ335" s="301" t="s">
        <v>470</v>
      </c>
      <c r="TEK335" s="301" t="s">
        <v>470</v>
      </c>
      <c r="TEL335" s="301" t="s">
        <v>470</v>
      </c>
      <c r="TEM335" s="301" t="s">
        <v>470</v>
      </c>
      <c r="TEN335" s="301" t="s">
        <v>470</v>
      </c>
      <c r="TEO335" s="301" t="s">
        <v>470</v>
      </c>
      <c r="TEP335" s="301" t="s">
        <v>470</v>
      </c>
      <c r="TEQ335" s="301" t="s">
        <v>470</v>
      </c>
      <c r="TER335" s="301" t="s">
        <v>470</v>
      </c>
      <c r="TES335" s="301" t="s">
        <v>470</v>
      </c>
      <c r="TET335" s="301" t="s">
        <v>470</v>
      </c>
      <c r="TEU335" s="301" t="s">
        <v>470</v>
      </c>
      <c r="TEV335" s="301" t="s">
        <v>470</v>
      </c>
      <c r="TEW335" s="301" t="s">
        <v>470</v>
      </c>
      <c r="TEX335" s="301" t="s">
        <v>470</v>
      </c>
      <c r="TEY335" s="301" t="s">
        <v>470</v>
      </c>
      <c r="TEZ335" s="301" t="s">
        <v>470</v>
      </c>
      <c r="TFA335" s="301" t="s">
        <v>470</v>
      </c>
      <c r="TFB335" s="301" t="s">
        <v>470</v>
      </c>
      <c r="TFC335" s="301" t="s">
        <v>470</v>
      </c>
      <c r="TFD335" s="301" t="s">
        <v>470</v>
      </c>
      <c r="TFE335" s="301" t="s">
        <v>470</v>
      </c>
      <c r="TFF335" s="301" t="s">
        <v>470</v>
      </c>
      <c r="TFG335" s="301" t="s">
        <v>470</v>
      </c>
      <c r="TFH335" s="301" t="s">
        <v>470</v>
      </c>
      <c r="TFI335" s="301" t="s">
        <v>470</v>
      </c>
      <c r="TFJ335" s="301" t="s">
        <v>470</v>
      </c>
      <c r="TFK335" s="301" t="s">
        <v>470</v>
      </c>
      <c r="TFL335" s="301" t="s">
        <v>470</v>
      </c>
      <c r="TFM335" s="301" t="s">
        <v>470</v>
      </c>
      <c r="TFN335" s="301" t="s">
        <v>470</v>
      </c>
      <c r="TFO335" s="301" t="s">
        <v>470</v>
      </c>
      <c r="TFP335" s="301" t="s">
        <v>470</v>
      </c>
      <c r="TFQ335" s="301" t="s">
        <v>470</v>
      </c>
      <c r="TFR335" s="301" t="s">
        <v>470</v>
      </c>
      <c r="TFS335" s="301" t="s">
        <v>470</v>
      </c>
      <c r="TFT335" s="301" t="s">
        <v>470</v>
      </c>
      <c r="TFU335" s="301" t="s">
        <v>470</v>
      </c>
      <c r="TFV335" s="301" t="s">
        <v>470</v>
      </c>
      <c r="TFW335" s="301" t="s">
        <v>470</v>
      </c>
      <c r="TFX335" s="301" t="s">
        <v>470</v>
      </c>
      <c r="TFY335" s="301" t="s">
        <v>470</v>
      </c>
      <c r="TFZ335" s="301" t="s">
        <v>470</v>
      </c>
      <c r="TGA335" s="301" t="s">
        <v>470</v>
      </c>
      <c r="TGB335" s="301" t="s">
        <v>470</v>
      </c>
      <c r="TGC335" s="301" t="s">
        <v>470</v>
      </c>
      <c r="TGD335" s="301" t="s">
        <v>470</v>
      </c>
      <c r="TGE335" s="301" t="s">
        <v>470</v>
      </c>
      <c r="TGF335" s="301" t="s">
        <v>470</v>
      </c>
      <c r="TGG335" s="301" t="s">
        <v>470</v>
      </c>
      <c r="TGH335" s="301" t="s">
        <v>470</v>
      </c>
      <c r="TGI335" s="301" t="s">
        <v>470</v>
      </c>
      <c r="TGJ335" s="301" t="s">
        <v>470</v>
      </c>
      <c r="TGK335" s="301" t="s">
        <v>470</v>
      </c>
      <c r="TGL335" s="301" t="s">
        <v>470</v>
      </c>
      <c r="TGM335" s="301" t="s">
        <v>470</v>
      </c>
      <c r="TGN335" s="301" t="s">
        <v>470</v>
      </c>
      <c r="TGO335" s="301" t="s">
        <v>470</v>
      </c>
      <c r="TGP335" s="301" t="s">
        <v>470</v>
      </c>
      <c r="TGQ335" s="301" t="s">
        <v>470</v>
      </c>
      <c r="TGR335" s="301" t="s">
        <v>470</v>
      </c>
      <c r="TGS335" s="301" t="s">
        <v>470</v>
      </c>
      <c r="TGT335" s="301" t="s">
        <v>470</v>
      </c>
      <c r="TGU335" s="301" t="s">
        <v>470</v>
      </c>
      <c r="TGV335" s="301" t="s">
        <v>470</v>
      </c>
      <c r="TGW335" s="301" t="s">
        <v>470</v>
      </c>
      <c r="TGX335" s="301" t="s">
        <v>470</v>
      </c>
      <c r="TGY335" s="301" t="s">
        <v>470</v>
      </c>
      <c r="TGZ335" s="301" t="s">
        <v>470</v>
      </c>
      <c r="THA335" s="301" t="s">
        <v>470</v>
      </c>
      <c r="THB335" s="301" t="s">
        <v>470</v>
      </c>
      <c r="THC335" s="301" t="s">
        <v>470</v>
      </c>
      <c r="THD335" s="301" t="s">
        <v>470</v>
      </c>
      <c r="THE335" s="301" t="s">
        <v>470</v>
      </c>
      <c r="THF335" s="301" t="s">
        <v>470</v>
      </c>
      <c r="THG335" s="301" t="s">
        <v>470</v>
      </c>
      <c r="THH335" s="301" t="s">
        <v>470</v>
      </c>
      <c r="THI335" s="301" t="s">
        <v>470</v>
      </c>
      <c r="THJ335" s="301" t="s">
        <v>470</v>
      </c>
      <c r="THK335" s="301" t="s">
        <v>470</v>
      </c>
      <c r="THL335" s="301" t="s">
        <v>470</v>
      </c>
      <c r="THM335" s="301" t="s">
        <v>470</v>
      </c>
      <c r="THN335" s="301" t="s">
        <v>470</v>
      </c>
      <c r="THO335" s="301" t="s">
        <v>470</v>
      </c>
      <c r="THP335" s="301" t="s">
        <v>470</v>
      </c>
      <c r="THQ335" s="301" t="s">
        <v>470</v>
      </c>
      <c r="THR335" s="301" t="s">
        <v>470</v>
      </c>
      <c r="THS335" s="301" t="s">
        <v>470</v>
      </c>
      <c r="THT335" s="301" t="s">
        <v>470</v>
      </c>
      <c r="THU335" s="301" t="s">
        <v>470</v>
      </c>
      <c r="THV335" s="301" t="s">
        <v>470</v>
      </c>
      <c r="THW335" s="301" t="s">
        <v>470</v>
      </c>
      <c r="THX335" s="301" t="s">
        <v>470</v>
      </c>
      <c r="THY335" s="301" t="s">
        <v>470</v>
      </c>
      <c r="THZ335" s="301" t="s">
        <v>470</v>
      </c>
      <c r="TIA335" s="301" t="s">
        <v>470</v>
      </c>
      <c r="TIB335" s="301" t="s">
        <v>470</v>
      </c>
      <c r="TIC335" s="301" t="s">
        <v>470</v>
      </c>
      <c r="TID335" s="301" t="s">
        <v>470</v>
      </c>
      <c r="TIE335" s="301" t="s">
        <v>470</v>
      </c>
      <c r="TIF335" s="301" t="s">
        <v>470</v>
      </c>
      <c r="TIG335" s="301" t="s">
        <v>470</v>
      </c>
      <c r="TIH335" s="301" t="s">
        <v>470</v>
      </c>
      <c r="TII335" s="301" t="s">
        <v>470</v>
      </c>
      <c r="TIJ335" s="301" t="s">
        <v>470</v>
      </c>
      <c r="TIK335" s="301" t="s">
        <v>470</v>
      </c>
      <c r="TIL335" s="301" t="s">
        <v>470</v>
      </c>
      <c r="TIM335" s="301" t="s">
        <v>470</v>
      </c>
      <c r="TIN335" s="301" t="s">
        <v>470</v>
      </c>
      <c r="TIO335" s="301" t="s">
        <v>470</v>
      </c>
      <c r="TIP335" s="301" t="s">
        <v>470</v>
      </c>
      <c r="TIQ335" s="301" t="s">
        <v>470</v>
      </c>
      <c r="TIR335" s="301" t="s">
        <v>470</v>
      </c>
      <c r="TIS335" s="301" t="s">
        <v>470</v>
      </c>
      <c r="TIT335" s="301" t="s">
        <v>470</v>
      </c>
      <c r="TIU335" s="301" t="s">
        <v>470</v>
      </c>
      <c r="TIV335" s="301" t="s">
        <v>470</v>
      </c>
      <c r="TIW335" s="301" t="s">
        <v>470</v>
      </c>
      <c r="TIX335" s="301" t="s">
        <v>470</v>
      </c>
      <c r="TIY335" s="301" t="s">
        <v>470</v>
      </c>
      <c r="TIZ335" s="301" t="s">
        <v>470</v>
      </c>
      <c r="TJA335" s="301" t="s">
        <v>470</v>
      </c>
      <c r="TJB335" s="301" t="s">
        <v>470</v>
      </c>
      <c r="TJC335" s="301" t="s">
        <v>470</v>
      </c>
      <c r="TJD335" s="301" t="s">
        <v>470</v>
      </c>
      <c r="TJE335" s="301" t="s">
        <v>470</v>
      </c>
      <c r="TJF335" s="301" t="s">
        <v>470</v>
      </c>
      <c r="TJG335" s="301" t="s">
        <v>470</v>
      </c>
      <c r="TJH335" s="301" t="s">
        <v>470</v>
      </c>
      <c r="TJI335" s="301" t="s">
        <v>470</v>
      </c>
      <c r="TJJ335" s="301" t="s">
        <v>470</v>
      </c>
      <c r="TJK335" s="301" t="s">
        <v>470</v>
      </c>
      <c r="TJL335" s="301" t="s">
        <v>470</v>
      </c>
      <c r="TJM335" s="301" t="s">
        <v>470</v>
      </c>
      <c r="TJN335" s="301" t="s">
        <v>470</v>
      </c>
      <c r="TJO335" s="301" t="s">
        <v>470</v>
      </c>
      <c r="TJP335" s="301" t="s">
        <v>470</v>
      </c>
      <c r="TJQ335" s="301" t="s">
        <v>470</v>
      </c>
      <c r="TJR335" s="301" t="s">
        <v>470</v>
      </c>
      <c r="TJS335" s="301" t="s">
        <v>470</v>
      </c>
      <c r="TJT335" s="301" t="s">
        <v>470</v>
      </c>
      <c r="TJU335" s="301" t="s">
        <v>470</v>
      </c>
      <c r="TJV335" s="301" t="s">
        <v>470</v>
      </c>
      <c r="TJW335" s="301" t="s">
        <v>470</v>
      </c>
      <c r="TJX335" s="301" t="s">
        <v>470</v>
      </c>
      <c r="TJY335" s="301" t="s">
        <v>470</v>
      </c>
      <c r="TJZ335" s="301" t="s">
        <v>470</v>
      </c>
      <c r="TKA335" s="301" t="s">
        <v>470</v>
      </c>
      <c r="TKB335" s="301" t="s">
        <v>470</v>
      </c>
      <c r="TKC335" s="301" t="s">
        <v>470</v>
      </c>
      <c r="TKD335" s="301" t="s">
        <v>470</v>
      </c>
      <c r="TKE335" s="301" t="s">
        <v>470</v>
      </c>
      <c r="TKF335" s="301" t="s">
        <v>470</v>
      </c>
      <c r="TKG335" s="301" t="s">
        <v>470</v>
      </c>
      <c r="TKH335" s="301" t="s">
        <v>470</v>
      </c>
      <c r="TKI335" s="301" t="s">
        <v>470</v>
      </c>
      <c r="TKJ335" s="301" t="s">
        <v>470</v>
      </c>
      <c r="TKK335" s="301" t="s">
        <v>470</v>
      </c>
      <c r="TKL335" s="301" t="s">
        <v>470</v>
      </c>
      <c r="TKM335" s="301" t="s">
        <v>470</v>
      </c>
      <c r="TKN335" s="301" t="s">
        <v>470</v>
      </c>
      <c r="TKO335" s="301" t="s">
        <v>470</v>
      </c>
      <c r="TKP335" s="301" t="s">
        <v>470</v>
      </c>
      <c r="TKQ335" s="301" t="s">
        <v>470</v>
      </c>
      <c r="TKR335" s="301" t="s">
        <v>470</v>
      </c>
      <c r="TKS335" s="301" t="s">
        <v>470</v>
      </c>
      <c r="TKT335" s="301" t="s">
        <v>470</v>
      </c>
      <c r="TKU335" s="301" t="s">
        <v>470</v>
      </c>
      <c r="TKV335" s="301" t="s">
        <v>470</v>
      </c>
      <c r="TKW335" s="301" t="s">
        <v>470</v>
      </c>
      <c r="TKX335" s="301" t="s">
        <v>470</v>
      </c>
      <c r="TKY335" s="301" t="s">
        <v>470</v>
      </c>
      <c r="TKZ335" s="301" t="s">
        <v>470</v>
      </c>
      <c r="TLA335" s="301" t="s">
        <v>470</v>
      </c>
      <c r="TLB335" s="301" t="s">
        <v>470</v>
      </c>
      <c r="TLC335" s="301" t="s">
        <v>470</v>
      </c>
      <c r="TLD335" s="301" t="s">
        <v>470</v>
      </c>
      <c r="TLE335" s="301" t="s">
        <v>470</v>
      </c>
      <c r="TLF335" s="301" t="s">
        <v>470</v>
      </c>
      <c r="TLG335" s="301" t="s">
        <v>470</v>
      </c>
      <c r="TLH335" s="301" t="s">
        <v>470</v>
      </c>
      <c r="TLI335" s="301" t="s">
        <v>470</v>
      </c>
      <c r="TLJ335" s="301" t="s">
        <v>470</v>
      </c>
      <c r="TLK335" s="301" t="s">
        <v>470</v>
      </c>
      <c r="TLL335" s="301" t="s">
        <v>470</v>
      </c>
      <c r="TLM335" s="301" t="s">
        <v>470</v>
      </c>
      <c r="TLN335" s="301" t="s">
        <v>470</v>
      </c>
      <c r="TLO335" s="301" t="s">
        <v>470</v>
      </c>
      <c r="TLP335" s="301" t="s">
        <v>470</v>
      </c>
      <c r="TLQ335" s="301" t="s">
        <v>470</v>
      </c>
      <c r="TLR335" s="301" t="s">
        <v>470</v>
      </c>
      <c r="TLS335" s="301" t="s">
        <v>470</v>
      </c>
      <c r="TLT335" s="301" t="s">
        <v>470</v>
      </c>
      <c r="TLU335" s="301" t="s">
        <v>470</v>
      </c>
      <c r="TLV335" s="301" t="s">
        <v>470</v>
      </c>
      <c r="TLW335" s="301" t="s">
        <v>470</v>
      </c>
      <c r="TLX335" s="301" t="s">
        <v>470</v>
      </c>
      <c r="TLY335" s="301" t="s">
        <v>470</v>
      </c>
      <c r="TLZ335" s="301" t="s">
        <v>470</v>
      </c>
      <c r="TMA335" s="301" t="s">
        <v>470</v>
      </c>
      <c r="TMB335" s="301" t="s">
        <v>470</v>
      </c>
      <c r="TMC335" s="301" t="s">
        <v>470</v>
      </c>
      <c r="TMD335" s="301" t="s">
        <v>470</v>
      </c>
      <c r="TME335" s="301" t="s">
        <v>470</v>
      </c>
      <c r="TMF335" s="301" t="s">
        <v>470</v>
      </c>
      <c r="TMG335" s="301" t="s">
        <v>470</v>
      </c>
      <c r="TMH335" s="301" t="s">
        <v>470</v>
      </c>
      <c r="TMI335" s="301" t="s">
        <v>470</v>
      </c>
      <c r="TMJ335" s="301" t="s">
        <v>470</v>
      </c>
      <c r="TMK335" s="301" t="s">
        <v>470</v>
      </c>
      <c r="TML335" s="301" t="s">
        <v>470</v>
      </c>
      <c r="TMM335" s="301" t="s">
        <v>470</v>
      </c>
      <c r="TMN335" s="301" t="s">
        <v>470</v>
      </c>
      <c r="TMO335" s="301" t="s">
        <v>470</v>
      </c>
      <c r="TMP335" s="301" t="s">
        <v>470</v>
      </c>
      <c r="TMQ335" s="301" t="s">
        <v>470</v>
      </c>
      <c r="TMR335" s="301" t="s">
        <v>470</v>
      </c>
      <c r="TMS335" s="301" t="s">
        <v>470</v>
      </c>
      <c r="TMT335" s="301" t="s">
        <v>470</v>
      </c>
      <c r="TMU335" s="301" t="s">
        <v>470</v>
      </c>
      <c r="TMV335" s="301" t="s">
        <v>470</v>
      </c>
      <c r="TMW335" s="301" t="s">
        <v>470</v>
      </c>
      <c r="TMX335" s="301" t="s">
        <v>470</v>
      </c>
      <c r="TMY335" s="301" t="s">
        <v>470</v>
      </c>
      <c r="TMZ335" s="301" t="s">
        <v>470</v>
      </c>
      <c r="TNA335" s="301" t="s">
        <v>470</v>
      </c>
      <c r="TNB335" s="301" t="s">
        <v>470</v>
      </c>
      <c r="TNC335" s="301" t="s">
        <v>470</v>
      </c>
      <c r="TND335" s="301" t="s">
        <v>470</v>
      </c>
      <c r="TNE335" s="301" t="s">
        <v>470</v>
      </c>
      <c r="TNF335" s="301" t="s">
        <v>470</v>
      </c>
      <c r="TNG335" s="301" t="s">
        <v>470</v>
      </c>
      <c r="TNH335" s="301" t="s">
        <v>470</v>
      </c>
      <c r="TNI335" s="301" t="s">
        <v>470</v>
      </c>
      <c r="TNJ335" s="301" t="s">
        <v>470</v>
      </c>
      <c r="TNK335" s="301" t="s">
        <v>470</v>
      </c>
      <c r="TNL335" s="301" t="s">
        <v>470</v>
      </c>
      <c r="TNM335" s="301" t="s">
        <v>470</v>
      </c>
      <c r="TNN335" s="301" t="s">
        <v>470</v>
      </c>
      <c r="TNO335" s="301" t="s">
        <v>470</v>
      </c>
      <c r="TNP335" s="301" t="s">
        <v>470</v>
      </c>
      <c r="TNQ335" s="301" t="s">
        <v>470</v>
      </c>
      <c r="TNR335" s="301" t="s">
        <v>470</v>
      </c>
      <c r="TNS335" s="301" t="s">
        <v>470</v>
      </c>
      <c r="TNT335" s="301" t="s">
        <v>470</v>
      </c>
      <c r="TNU335" s="301" t="s">
        <v>470</v>
      </c>
      <c r="TNV335" s="301" t="s">
        <v>470</v>
      </c>
      <c r="TNW335" s="301" t="s">
        <v>470</v>
      </c>
      <c r="TNX335" s="301" t="s">
        <v>470</v>
      </c>
      <c r="TNY335" s="301" t="s">
        <v>470</v>
      </c>
      <c r="TNZ335" s="301" t="s">
        <v>470</v>
      </c>
      <c r="TOA335" s="301" t="s">
        <v>470</v>
      </c>
      <c r="TOB335" s="301" t="s">
        <v>470</v>
      </c>
      <c r="TOC335" s="301" t="s">
        <v>470</v>
      </c>
      <c r="TOD335" s="301" t="s">
        <v>470</v>
      </c>
      <c r="TOE335" s="301" t="s">
        <v>470</v>
      </c>
      <c r="TOF335" s="301" t="s">
        <v>470</v>
      </c>
      <c r="TOG335" s="301" t="s">
        <v>470</v>
      </c>
      <c r="TOH335" s="301" t="s">
        <v>470</v>
      </c>
      <c r="TOI335" s="301" t="s">
        <v>470</v>
      </c>
      <c r="TOJ335" s="301" t="s">
        <v>470</v>
      </c>
      <c r="TOK335" s="301" t="s">
        <v>470</v>
      </c>
      <c r="TOL335" s="301" t="s">
        <v>470</v>
      </c>
      <c r="TOM335" s="301" t="s">
        <v>470</v>
      </c>
      <c r="TON335" s="301" t="s">
        <v>470</v>
      </c>
      <c r="TOO335" s="301" t="s">
        <v>470</v>
      </c>
      <c r="TOP335" s="301" t="s">
        <v>470</v>
      </c>
      <c r="TOQ335" s="301" t="s">
        <v>470</v>
      </c>
      <c r="TOR335" s="301" t="s">
        <v>470</v>
      </c>
      <c r="TOS335" s="301" t="s">
        <v>470</v>
      </c>
      <c r="TOT335" s="301" t="s">
        <v>470</v>
      </c>
      <c r="TOU335" s="301" t="s">
        <v>470</v>
      </c>
      <c r="TOV335" s="301" t="s">
        <v>470</v>
      </c>
      <c r="TOW335" s="301" t="s">
        <v>470</v>
      </c>
      <c r="TOX335" s="301" t="s">
        <v>470</v>
      </c>
      <c r="TOY335" s="301" t="s">
        <v>470</v>
      </c>
      <c r="TOZ335" s="301" t="s">
        <v>470</v>
      </c>
      <c r="TPA335" s="301" t="s">
        <v>470</v>
      </c>
      <c r="TPB335" s="301" t="s">
        <v>470</v>
      </c>
      <c r="TPC335" s="301" t="s">
        <v>470</v>
      </c>
      <c r="TPD335" s="301" t="s">
        <v>470</v>
      </c>
      <c r="TPE335" s="301" t="s">
        <v>470</v>
      </c>
      <c r="TPF335" s="301" t="s">
        <v>470</v>
      </c>
      <c r="TPG335" s="301" t="s">
        <v>470</v>
      </c>
      <c r="TPH335" s="301" t="s">
        <v>470</v>
      </c>
      <c r="TPI335" s="301" t="s">
        <v>470</v>
      </c>
      <c r="TPJ335" s="301" t="s">
        <v>470</v>
      </c>
      <c r="TPK335" s="301" t="s">
        <v>470</v>
      </c>
      <c r="TPL335" s="301" t="s">
        <v>470</v>
      </c>
      <c r="TPM335" s="301" t="s">
        <v>470</v>
      </c>
      <c r="TPN335" s="301" t="s">
        <v>470</v>
      </c>
      <c r="TPO335" s="301" t="s">
        <v>470</v>
      </c>
      <c r="TPP335" s="301" t="s">
        <v>470</v>
      </c>
      <c r="TPQ335" s="301" t="s">
        <v>470</v>
      </c>
      <c r="TPR335" s="301" t="s">
        <v>470</v>
      </c>
      <c r="TPS335" s="301" t="s">
        <v>470</v>
      </c>
      <c r="TPT335" s="301" t="s">
        <v>470</v>
      </c>
      <c r="TPU335" s="301" t="s">
        <v>470</v>
      </c>
      <c r="TPV335" s="301" t="s">
        <v>470</v>
      </c>
      <c r="TPW335" s="301" t="s">
        <v>470</v>
      </c>
      <c r="TPX335" s="301" t="s">
        <v>470</v>
      </c>
      <c r="TPY335" s="301" t="s">
        <v>470</v>
      </c>
      <c r="TPZ335" s="301" t="s">
        <v>470</v>
      </c>
      <c r="TQA335" s="301" t="s">
        <v>470</v>
      </c>
      <c r="TQB335" s="301" t="s">
        <v>470</v>
      </c>
      <c r="TQC335" s="301" t="s">
        <v>470</v>
      </c>
      <c r="TQD335" s="301" t="s">
        <v>470</v>
      </c>
      <c r="TQE335" s="301" t="s">
        <v>470</v>
      </c>
      <c r="TQF335" s="301" t="s">
        <v>470</v>
      </c>
      <c r="TQG335" s="301" t="s">
        <v>470</v>
      </c>
      <c r="TQH335" s="301" t="s">
        <v>470</v>
      </c>
      <c r="TQI335" s="301" t="s">
        <v>470</v>
      </c>
      <c r="TQJ335" s="301" t="s">
        <v>470</v>
      </c>
      <c r="TQK335" s="301" t="s">
        <v>470</v>
      </c>
      <c r="TQL335" s="301" t="s">
        <v>470</v>
      </c>
      <c r="TQM335" s="301" t="s">
        <v>470</v>
      </c>
      <c r="TQN335" s="301" t="s">
        <v>470</v>
      </c>
      <c r="TQO335" s="301" t="s">
        <v>470</v>
      </c>
      <c r="TQP335" s="301" t="s">
        <v>470</v>
      </c>
      <c r="TQQ335" s="301" t="s">
        <v>470</v>
      </c>
      <c r="TQR335" s="301" t="s">
        <v>470</v>
      </c>
      <c r="TQS335" s="301" t="s">
        <v>470</v>
      </c>
      <c r="TQT335" s="301" t="s">
        <v>470</v>
      </c>
      <c r="TQU335" s="301" t="s">
        <v>470</v>
      </c>
      <c r="TQV335" s="301" t="s">
        <v>470</v>
      </c>
      <c r="TQW335" s="301" t="s">
        <v>470</v>
      </c>
      <c r="TQX335" s="301" t="s">
        <v>470</v>
      </c>
      <c r="TQY335" s="301" t="s">
        <v>470</v>
      </c>
      <c r="TQZ335" s="301" t="s">
        <v>470</v>
      </c>
      <c r="TRA335" s="301" t="s">
        <v>470</v>
      </c>
      <c r="TRB335" s="301" t="s">
        <v>470</v>
      </c>
      <c r="TRC335" s="301" t="s">
        <v>470</v>
      </c>
      <c r="TRD335" s="301" t="s">
        <v>470</v>
      </c>
      <c r="TRE335" s="301" t="s">
        <v>470</v>
      </c>
      <c r="TRF335" s="301" t="s">
        <v>470</v>
      </c>
      <c r="TRG335" s="301" t="s">
        <v>470</v>
      </c>
      <c r="TRH335" s="301" t="s">
        <v>470</v>
      </c>
      <c r="TRI335" s="301" t="s">
        <v>470</v>
      </c>
      <c r="TRJ335" s="301" t="s">
        <v>470</v>
      </c>
      <c r="TRK335" s="301" t="s">
        <v>470</v>
      </c>
      <c r="TRL335" s="301" t="s">
        <v>470</v>
      </c>
      <c r="TRM335" s="301" t="s">
        <v>470</v>
      </c>
      <c r="TRN335" s="301" t="s">
        <v>470</v>
      </c>
      <c r="TRO335" s="301" t="s">
        <v>470</v>
      </c>
      <c r="TRP335" s="301" t="s">
        <v>470</v>
      </c>
      <c r="TRQ335" s="301" t="s">
        <v>470</v>
      </c>
      <c r="TRR335" s="301" t="s">
        <v>470</v>
      </c>
      <c r="TRS335" s="301" t="s">
        <v>470</v>
      </c>
      <c r="TRT335" s="301" t="s">
        <v>470</v>
      </c>
      <c r="TRU335" s="301" t="s">
        <v>470</v>
      </c>
      <c r="TRV335" s="301" t="s">
        <v>470</v>
      </c>
      <c r="TRW335" s="301" t="s">
        <v>470</v>
      </c>
      <c r="TRX335" s="301" t="s">
        <v>470</v>
      </c>
      <c r="TRY335" s="301" t="s">
        <v>470</v>
      </c>
      <c r="TRZ335" s="301" t="s">
        <v>470</v>
      </c>
      <c r="TSA335" s="301" t="s">
        <v>470</v>
      </c>
      <c r="TSB335" s="301" t="s">
        <v>470</v>
      </c>
      <c r="TSC335" s="301" t="s">
        <v>470</v>
      </c>
      <c r="TSD335" s="301" t="s">
        <v>470</v>
      </c>
      <c r="TSE335" s="301" t="s">
        <v>470</v>
      </c>
      <c r="TSF335" s="301" t="s">
        <v>470</v>
      </c>
      <c r="TSG335" s="301" t="s">
        <v>470</v>
      </c>
      <c r="TSH335" s="301" t="s">
        <v>470</v>
      </c>
      <c r="TSI335" s="301" t="s">
        <v>470</v>
      </c>
      <c r="TSJ335" s="301" t="s">
        <v>470</v>
      </c>
      <c r="TSK335" s="301" t="s">
        <v>470</v>
      </c>
      <c r="TSL335" s="301" t="s">
        <v>470</v>
      </c>
      <c r="TSM335" s="301" t="s">
        <v>470</v>
      </c>
      <c r="TSN335" s="301" t="s">
        <v>470</v>
      </c>
      <c r="TSO335" s="301" t="s">
        <v>470</v>
      </c>
      <c r="TSP335" s="301" t="s">
        <v>470</v>
      </c>
      <c r="TSQ335" s="301" t="s">
        <v>470</v>
      </c>
      <c r="TSR335" s="301" t="s">
        <v>470</v>
      </c>
      <c r="TSS335" s="301" t="s">
        <v>470</v>
      </c>
      <c r="TST335" s="301" t="s">
        <v>470</v>
      </c>
      <c r="TSU335" s="301" t="s">
        <v>470</v>
      </c>
      <c r="TSV335" s="301" t="s">
        <v>470</v>
      </c>
      <c r="TSW335" s="301" t="s">
        <v>470</v>
      </c>
      <c r="TSX335" s="301" t="s">
        <v>470</v>
      </c>
      <c r="TSY335" s="301" t="s">
        <v>470</v>
      </c>
      <c r="TSZ335" s="301" t="s">
        <v>470</v>
      </c>
      <c r="TTA335" s="301" t="s">
        <v>470</v>
      </c>
      <c r="TTB335" s="301" t="s">
        <v>470</v>
      </c>
      <c r="TTC335" s="301" t="s">
        <v>470</v>
      </c>
      <c r="TTD335" s="301" t="s">
        <v>470</v>
      </c>
      <c r="TTE335" s="301" t="s">
        <v>470</v>
      </c>
      <c r="TTF335" s="301" t="s">
        <v>470</v>
      </c>
      <c r="TTG335" s="301" t="s">
        <v>470</v>
      </c>
      <c r="TTH335" s="301" t="s">
        <v>470</v>
      </c>
      <c r="TTI335" s="301" t="s">
        <v>470</v>
      </c>
      <c r="TTJ335" s="301" t="s">
        <v>470</v>
      </c>
      <c r="TTK335" s="301" t="s">
        <v>470</v>
      </c>
      <c r="TTL335" s="301" t="s">
        <v>470</v>
      </c>
      <c r="TTM335" s="301" t="s">
        <v>470</v>
      </c>
      <c r="TTN335" s="301" t="s">
        <v>470</v>
      </c>
      <c r="TTO335" s="301" t="s">
        <v>470</v>
      </c>
      <c r="TTP335" s="301" t="s">
        <v>470</v>
      </c>
      <c r="TTQ335" s="301" t="s">
        <v>470</v>
      </c>
      <c r="TTR335" s="301" t="s">
        <v>470</v>
      </c>
      <c r="TTS335" s="301" t="s">
        <v>470</v>
      </c>
      <c r="TTT335" s="301" t="s">
        <v>470</v>
      </c>
      <c r="TTU335" s="301" t="s">
        <v>470</v>
      </c>
      <c r="TTV335" s="301" t="s">
        <v>470</v>
      </c>
      <c r="TTW335" s="301" t="s">
        <v>470</v>
      </c>
      <c r="TTX335" s="301" t="s">
        <v>470</v>
      </c>
      <c r="TTY335" s="301" t="s">
        <v>470</v>
      </c>
      <c r="TTZ335" s="301" t="s">
        <v>470</v>
      </c>
      <c r="TUA335" s="301" t="s">
        <v>470</v>
      </c>
      <c r="TUB335" s="301" t="s">
        <v>470</v>
      </c>
      <c r="TUC335" s="301" t="s">
        <v>470</v>
      </c>
      <c r="TUD335" s="301" t="s">
        <v>470</v>
      </c>
      <c r="TUE335" s="301" t="s">
        <v>470</v>
      </c>
      <c r="TUF335" s="301" t="s">
        <v>470</v>
      </c>
      <c r="TUG335" s="301" t="s">
        <v>470</v>
      </c>
      <c r="TUH335" s="301" t="s">
        <v>470</v>
      </c>
      <c r="TUI335" s="301" t="s">
        <v>470</v>
      </c>
      <c r="TUJ335" s="301" t="s">
        <v>470</v>
      </c>
      <c r="TUK335" s="301" t="s">
        <v>470</v>
      </c>
      <c r="TUL335" s="301" t="s">
        <v>470</v>
      </c>
      <c r="TUM335" s="301" t="s">
        <v>470</v>
      </c>
      <c r="TUN335" s="301" t="s">
        <v>470</v>
      </c>
      <c r="TUO335" s="301" t="s">
        <v>470</v>
      </c>
      <c r="TUP335" s="301" t="s">
        <v>470</v>
      </c>
      <c r="TUQ335" s="301" t="s">
        <v>470</v>
      </c>
      <c r="TUR335" s="301" t="s">
        <v>470</v>
      </c>
      <c r="TUS335" s="301" t="s">
        <v>470</v>
      </c>
      <c r="TUT335" s="301" t="s">
        <v>470</v>
      </c>
      <c r="TUU335" s="301" t="s">
        <v>470</v>
      </c>
      <c r="TUV335" s="301" t="s">
        <v>470</v>
      </c>
      <c r="TUW335" s="301" t="s">
        <v>470</v>
      </c>
      <c r="TUX335" s="301" t="s">
        <v>470</v>
      </c>
      <c r="TUY335" s="301" t="s">
        <v>470</v>
      </c>
      <c r="TUZ335" s="301" t="s">
        <v>470</v>
      </c>
      <c r="TVA335" s="301" t="s">
        <v>470</v>
      </c>
      <c r="TVB335" s="301" t="s">
        <v>470</v>
      </c>
      <c r="TVC335" s="301" t="s">
        <v>470</v>
      </c>
      <c r="TVD335" s="301" t="s">
        <v>470</v>
      </c>
      <c r="TVE335" s="301" t="s">
        <v>470</v>
      </c>
      <c r="TVF335" s="301" t="s">
        <v>470</v>
      </c>
      <c r="TVG335" s="301" t="s">
        <v>470</v>
      </c>
      <c r="TVH335" s="301" t="s">
        <v>470</v>
      </c>
      <c r="TVI335" s="301" t="s">
        <v>470</v>
      </c>
      <c r="TVJ335" s="301" t="s">
        <v>470</v>
      </c>
      <c r="TVK335" s="301" t="s">
        <v>470</v>
      </c>
      <c r="TVL335" s="301" t="s">
        <v>470</v>
      </c>
      <c r="TVM335" s="301" t="s">
        <v>470</v>
      </c>
      <c r="TVN335" s="301" t="s">
        <v>470</v>
      </c>
      <c r="TVO335" s="301" t="s">
        <v>470</v>
      </c>
      <c r="TVP335" s="301" t="s">
        <v>470</v>
      </c>
      <c r="TVQ335" s="301" t="s">
        <v>470</v>
      </c>
      <c r="TVR335" s="301" t="s">
        <v>470</v>
      </c>
      <c r="TVS335" s="301" t="s">
        <v>470</v>
      </c>
      <c r="TVT335" s="301" t="s">
        <v>470</v>
      </c>
      <c r="TVU335" s="301" t="s">
        <v>470</v>
      </c>
      <c r="TVV335" s="301" t="s">
        <v>470</v>
      </c>
      <c r="TVW335" s="301" t="s">
        <v>470</v>
      </c>
      <c r="TVX335" s="301" t="s">
        <v>470</v>
      </c>
      <c r="TVY335" s="301" t="s">
        <v>470</v>
      </c>
      <c r="TVZ335" s="301" t="s">
        <v>470</v>
      </c>
      <c r="TWA335" s="301" t="s">
        <v>470</v>
      </c>
      <c r="TWB335" s="301" t="s">
        <v>470</v>
      </c>
      <c r="TWC335" s="301" t="s">
        <v>470</v>
      </c>
      <c r="TWD335" s="301" t="s">
        <v>470</v>
      </c>
      <c r="TWE335" s="301" t="s">
        <v>470</v>
      </c>
      <c r="TWF335" s="301" t="s">
        <v>470</v>
      </c>
      <c r="TWG335" s="301" t="s">
        <v>470</v>
      </c>
      <c r="TWH335" s="301" t="s">
        <v>470</v>
      </c>
      <c r="TWI335" s="301" t="s">
        <v>470</v>
      </c>
      <c r="TWJ335" s="301" t="s">
        <v>470</v>
      </c>
      <c r="TWK335" s="301" t="s">
        <v>470</v>
      </c>
      <c r="TWL335" s="301" t="s">
        <v>470</v>
      </c>
      <c r="TWM335" s="301" t="s">
        <v>470</v>
      </c>
      <c r="TWN335" s="301" t="s">
        <v>470</v>
      </c>
      <c r="TWO335" s="301" t="s">
        <v>470</v>
      </c>
      <c r="TWP335" s="301" t="s">
        <v>470</v>
      </c>
      <c r="TWQ335" s="301" t="s">
        <v>470</v>
      </c>
      <c r="TWR335" s="301" t="s">
        <v>470</v>
      </c>
      <c r="TWS335" s="301" t="s">
        <v>470</v>
      </c>
      <c r="TWT335" s="301" t="s">
        <v>470</v>
      </c>
      <c r="TWU335" s="301" t="s">
        <v>470</v>
      </c>
      <c r="TWV335" s="301" t="s">
        <v>470</v>
      </c>
      <c r="TWW335" s="301" t="s">
        <v>470</v>
      </c>
      <c r="TWX335" s="301" t="s">
        <v>470</v>
      </c>
      <c r="TWY335" s="301" t="s">
        <v>470</v>
      </c>
      <c r="TWZ335" s="301" t="s">
        <v>470</v>
      </c>
      <c r="TXA335" s="301" t="s">
        <v>470</v>
      </c>
      <c r="TXB335" s="301" t="s">
        <v>470</v>
      </c>
      <c r="TXC335" s="301" t="s">
        <v>470</v>
      </c>
      <c r="TXD335" s="301" t="s">
        <v>470</v>
      </c>
      <c r="TXE335" s="301" t="s">
        <v>470</v>
      </c>
      <c r="TXF335" s="301" t="s">
        <v>470</v>
      </c>
      <c r="TXG335" s="301" t="s">
        <v>470</v>
      </c>
      <c r="TXH335" s="301" t="s">
        <v>470</v>
      </c>
      <c r="TXI335" s="301" t="s">
        <v>470</v>
      </c>
      <c r="TXJ335" s="301" t="s">
        <v>470</v>
      </c>
      <c r="TXK335" s="301" t="s">
        <v>470</v>
      </c>
      <c r="TXL335" s="301" t="s">
        <v>470</v>
      </c>
      <c r="TXM335" s="301" t="s">
        <v>470</v>
      </c>
      <c r="TXN335" s="301" t="s">
        <v>470</v>
      </c>
      <c r="TXO335" s="301" t="s">
        <v>470</v>
      </c>
      <c r="TXP335" s="301" t="s">
        <v>470</v>
      </c>
      <c r="TXQ335" s="301" t="s">
        <v>470</v>
      </c>
      <c r="TXR335" s="301" t="s">
        <v>470</v>
      </c>
      <c r="TXS335" s="301" t="s">
        <v>470</v>
      </c>
      <c r="TXT335" s="301" t="s">
        <v>470</v>
      </c>
      <c r="TXU335" s="301" t="s">
        <v>470</v>
      </c>
      <c r="TXV335" s="301" t="s">
        <v>470</v>
      </c>
      <c r="TXW335" s="301" t="s">
        <v>470</v>
      </c>
      <c r="TXX335" s="301" t="s">
        <v>470</v>
      </c>
      <c r="TXY335" s="301" t="s">
        <v>470</v>
      </c>
      <c r="TXZ335" s="301" t="s">
        <v>470</v>
      </c>
      <c r="TYA335" s="301" t="s">
        <v>470</v>
      </c>
      <c r="TYB335" s="301" t="s">
        <v>470</v>
      </c>
      <c r="TYC335" s="301" t="s">
        <v>470</v>
      </c>
      <c r="TYD335" s="301" t="s">
        <v>470</v>
      </c>
      <c r="TYE335" s="301" t="s">
        <v>470</v>
      </c>
      <c r="TYF335" s="301" t="s">
        <v>470</v>
      </c>
      <c r="TYG335" s="301" t="s">
        <v>470</v>
      </c>
      <c r="TYH335" s="301" t="s">
        <v>470</v>
      </c>
      <c r="TYI335" s="301" t="s">
        <v>470</v>
      </c>
      <c r="TYJ335" s="301" t="s">
        <v>470</v>
      </c>
      <c r="TYK335" s="301" t="s">
        <v>470</v>
      </c>
      <c r="TYL335" s="301" t="s">
        <v>470</v>
      </c>
      <c r="TYM335" s="301" t="s">
        <v>470</v>
      </c>
      <c r="TYN335" s="301" t="s">
        <v>470</v>
      </c>
      <c r="TYO335" s="301" t="s">
        <v>470</v>
      </c>
      <c r="TYP335" s="301" t="s">
        <v>470</v>
      </c>
      <c r="TYQ335" s="301" t="s">
        <v>470</v>
      </c>
      <c r="TYR335" s="301" t="s">
        <v>470</v>
      </c>
      <c r="TYS335" s="301" t="s">
        <v>470</v>
      </c>
      <c r="TYT335" s="301" t="s">
        <v>470</v>
      </c>
      <c r="TYU335" s="301" t="s">
        <v>470</v>
      </c>
      <c r="TYV335" s="301" t="s">
        <v>470</v>
      </c>
      <c r="TYW335" s="301" t="s">
        <v>470</v>
      </c>
      <c r="TYX335" s="301" t="s">
        <v>470</v>
      </c>
      <c r="TYY335" s="301" t="s">
        <v>470</v>
      </c>
      <c r="TYZ335" s="301" t="s">
        <v>470</v>
      </c>
      <c r="TZA335" s="301" t="s">
        <v>470</v>
      </c>
      <c r="TZB335" s="301" t="s">
        <v>470</v>
      </c>
      <c r="TZC335" s="301" t="s">
        <v>470</v>
      </c>
      <c r="TZD335" s="301" t="s">
        <v>470</v>
      </c>
      <c r="TZE335" s="301" t="s">
        <v>470</v>
      </c>
      <c r="TZF335" s="301" t="s">
        <v>470</v>
      </c>
      <c r="TZG335" s="301" t="s">
        <v>470</v>
      </c>
      <c r="TZH335" s="301" t="s">
        <v>470</v>
      </c>
      <c r="TZI335" s="301" t="s">
        <v>470</v>
      </c>
      <c r="TZJ335" s="301" t="s">
        <v>470</v>
      </c>
      <c r="TZK335" s="301" t="s">
        <v>470</v>
      </c>
      <c r="TZL335" s="301" t="s">
        <v>470</v>
      </c>
      <c r="TZM335" s="301" t="s">
        <v>470</v>
      </c>
      <c r="TZN335" s="301" t="s">
        <v>470</v>
      </c>
      <c r="TZO335" s="301" t="s">
        <v>470</v>
      </c>
      <c r="TZP335" s="301" t="s">
        <v>470</v>
      </c>
      <c r="TZQ335" s="301" t="s">
        <v>470</v>
      </c>
      <c r="TZR335" s="301" t="s">
        <v>470</v>
      </c>
      <c r="TZS335" s="301" t="s">
        <v>470</v>
      </c>
      <c r="TZT335" s="301" t="s">
        <v>470</v>
      </c>
      <c r="TZU335" s="301" t="s">
        <v>470</v>
      </c>
      <c r="TZV335" s="301" t="s">
        <v>470</v>
      </c>
      <c r="TZW335" s="301" t="s">
        <v>470</v>
      </c>
      <c r="TZX335" s="301" t="s">
        <v>470</v>
      </c>
      <c r="TZY335" s="301" t="s">
        <v>470</v>
      </c>
      <c r="TZZ335" s="301" t="s">
        <v>470</v>
      </c>
      <c r="UAA335" s="301" t="s">
        <v>470</v>
      </c>
      <c r="UAB335" s="301" t="s">
        <v>470</v>
      </c>
      <c r="UAC335" s="301" t="s">
        <v>470</v>
      </c>
      <c r="UAD335" s="301" t="s">
        <v>470</v>
      </c>
      <c r="UAE335" s="301" t="s">
        <v>470</v>
      </c>
      <c r="UAF335" s="301" t="s">
        <v>470</v>
      </c>
      <c r="UAG335" s="301" t="s">
        <v>470</v>
      </c>
      <c r="UAH335" s="301" t="s">
        <v>470</v>
      </c>
      <c r="UAI335" s="301" t="s">
        <v>470</v>
      </c>
      <c r="UAJ335" s="301" t="s">
        <v>470</v>
      </c>
      <c r="UAK335" s="301" t="s">
        <v>470</v>
      </c>
      <c r="UAL335" s="301" t="s">
        <v>470</v>
      </c>
      <c r="UAM335" s="301" t="s">
        <v>470</v>
      </c>
      <c r="UAN335" s="301" t="s">
        <v>470</v>
      </c>
      <c r="UAO335" s="301" t="s">
        <v>470</v>
      </c>
      <c r="UAP335" s="301" t="s">
        <v>470</v>
      </c>
      <c r="UAQ335" s="301" t="s">
        <v>470</v>
      </c>
      <c r="UAR335" s="301" t="s">
        <v>470</v>
      </c>
      <c r="UAS335" s="301" t="s">
        <v>470</v>
      </c>
      <c r="UAT335" s="301" t="s">
        <v>470</v>
      </c>
      <c r="UAU335" s="301" t="s">
        <v>470</v>
      </c>
      <c r="UAV335" s="301" t="s">
        <v>470</v>
      </c>
      <c r="UAW335" s="301" t="s">
        <v>470</v>
      </c>
      <c r="UAX335" s="301" t="s">
        <v>470</v>
      </c>
      <c r="UAY335" s="301" t="s">
        <v>470</v>
      </c>
      <c r="UAZ335" s="301" t="s">
        <v>470</v>
      </c>
      <c r="UBA335" s="301" t="s">
        <v>470</v>
      </c>
      <c r="UBB335" s="301" t="s">
        <v>470</v>
      </c>
      <c r="UBC335" s="301" t="s">
        <v>470</v>
      </c>
      <c r="UBD335" s="301" t="s">
        <v>470</v>
      </c>
      <c r="UBE335" s="301" t="s">
        <v>470</v>
      </c>
      <c r="UBF335" s="301" t="s">
        <v>470</v>
      </c>
      <c r="UBG335" s="301" t="s">
        <v>470</v>
      </c>
      <c r="UBH335" s="301" t="s">
        <v>470</v>
      </c>
      <c r="UBI335" s="301" t="s">
        <v>470</v>
      </c>
      <c r="UBJ335" s="301" t="s">
        <v>470</v>
      </c>
      <c r="UBK335" s="301" t="s">
        <v>470</v>
      </c>
      <c r="UBL335" s="301" t="s">
        <v>470</v>
      </c>
      <c r="UBM335" s="301" t="s">
        <v>470</v>
      </c>
      <c r="UBN335" s="301" t="s">
        <v>470</v>
      </c>
      <c r="UBO335" s="301" t="s">
        <v>470</v>
      </c>
      <c r="UBP335" s="301" t="s">
        <v>470</v>
      </c>
      <c r="UBQ335" s="301" t="s">
        <v>470</v>
      </c>
      <c r="UBR335" s="301" t="s">
        <v>470</v>
      </c>
      <c r="UBS335" s="301" t="s">
        <v>470</v>
      </c>
      <c r="UBT335" s="301" t="s">
        <v>470</v>
      </c>
      <c r="UBU335" s="301" t="s">
        <v>470</v>
      </c>
      <c r="UBV335" s="301" t="s">
        <v>470</v>
      </c>
      <c r="UBW335" s="301" t="s">
        <v>470</v>
      </c>
      <c r="UBX335" s="301" t="s">
        <v>470</v>
      </c>
      <c r="UBY335" s="301" t="s">
        <v>470</v>
      </c>
      <c r="UBZ335" s="301" t="s">
        <v>470</v>
      </c>
      <c r="UCA335" s="301" t="s">
        <v>470</v>
      </c>
      <c r="UCB335" s="301" t="s">
        <v>470</v>
      </c>
      <c r="UCC335" s="301" t="s">
        <v>470</v>
      </c>
      <c r="UCD335" s="301" t="s">
        <v>470</v>
      </c>
      <c r="UCE335" s="301" t="s">
        <v>470</v>
      </c>
      <c r="UCF335" s="301" t="s">
        <v>470</v>
      </c>
      <c r="UCG335" s="301" t="s">
        <v>470</v>
      </c>
      <c r="UCH335" s="301" t="s">
        <v>470</v>
      </c>
      <c r="UCI335" s="301" t="s">
        <v>470</v>
      </c>
      <c r="UCJ335" s="301" t="s">
        <v>470</v>
      </c>
      <c r="UCK335" s="301" t="s">
        <v>470</v>
      </c>
      <c r="UCL335" s="301" t="s">
        <v>470</v>
      </c>
      <c r="UCM335" s="301" t="s">
        <v>470</v>
      </c>
      <c r="UCN335" s="301" t="s">
        <v>470</v>
      </c>
      <c r="UCO335" s="301" t="s">
        <v>470</v>
      </c>
      <c r="UCP335" s="301" t="s">
        <v>470</v>
      </c>
      <c r="UCQ335" s="301" t="s">
        <v>470</v>
      </c>
      <c r="UCR335" s="301" t="s">
        <v>470</v>
      </c>
      <c r="UCS335" s="301" t="s">
        <v>470</v>
      </c>
      <c r="UCT335" s="301" t="s">
        <v>470</v>
      </c>
      <c r="UCU335" s="301" t="s">
        <v>470</v>
      </c>
      <c r="UCV335" s="301" t="s">
        <v>470</v>
      </c>
      <c r="UCW335" s="301" t="s">
        <v>470</v>
      </c>
      <c r="UCX335" s="301" t="s">
        <v>470</v>
      </c>
      <c r="UCY335" s="301" t="s">
        <v>470</v>
      </c>
      <c r="UCZ335" s="301" t="s">
        <v>470</v>
      </c>
      <c r="UDA335" s="301" t="s">
        <v>470</v>
      </c>
      <c r="UDB335" s="301" t="s">
        <v>470</v>
      </c>
      <c r="UDC335" s="301" t="s">
        <v>470</v>
      </c>
      <c r="UDD335" s="301" t="s">
        <v>470</v>
      </c>
      <c r="UDE335" s="301" t="s">
        <v>470</v>
      </c>
      <c r="UDF335" s="301" t="s">
        <v>470</v>
      </c>
      <c r="UDG335" s="301" t="s">
        <v>470</v>
      </c>
      <c r="UDH335" s="301" t="s">
        <v>470</v>
      </c>
      <c r="UDI335" s="301" t="s">
        <v>470</v>
      </c>
      <c r="UDJ335" s="301" t="s">
        <v>470</v>
      </c>
      <c r="UDK335" s="301" t="s">
        <v>470</v>
      </c>
      <c r="UDL335" s="301" t="s">
        <v>470</v>
      </c>
      <c r="UDM335" s="301" t="s">
        <v>470</v>
      </c>
      <c r="UDN335" s="301" t="s">
        <v>470</v>
      </c>
      <c r="UDO335" s="301" t="s">
        <v>470</v>
      </c>
      <c r="UDP335" s="301" t="s">
        <v>470</v>
      </c>
      <c r="UDQ335" s="301" t="s">
        <v>470</v>
      </c>
      <c r="UDR335" s="301" t="s">
        <v>470</v>
      </c>
      <c r="UDS335" s="301" t="s">
        <v>470</v>
      </c>
      <c r="UDT335" s="301" t="s">
        <v>470</v>
      </c>
      <c r="UDU335" s="301" t="s">
        <v>470</v>
      </c>
      <c r="UDV335" s="301" t="s">
        <v>470</v>
      </c>
      <c r="UDW335" s="301" t="s">
        <v>470</v>
      </c>
      <c r="UDX335" s="301" t="s">
        <v>470</v>
      </c>
      <c r="UDY335" s="301" t="s">
        <v>470</v>
      </c>
      <c r="UDZ335" s="301" t="s">
        <v>470</v>
      </c>
      <c r="UEA335" s="301" t="s">
        <v>470</v>
      </c>
      <c r="UEB335" s="301" t="s">
        <v>470</v>
      </c>
      <c r="UEC335" s="301" t="s">
        <v>470</v>
      </c>
      <c r="UED335" s="301" t="s">
        <v>470</v>
      </c>
      <c r="UEE335" s="301" t="s">
        <v>470</v>
      </c>
      <c r="UEF335" s="301" t="s">
        <v>470</v>
      </c>
      <c r="UEG335" s="301" t="s">
        <v>470</v>
      </c>
      <c r="UEH335" s="301" t="s">
        <v>470</v>
      </c>
      <c r="UEI335" s="301" t="s">
        <v>470</v>
      </c>
      <c r="UEJ335" s="301" t="s">
        <v>470</v>
      </c>
      <c r="UEK335" s="301" t="s">
        <v>470</v>
      </c>
      <c r="UEL335" s="301" t="s">
        <v>470</v>
      </c>
      <c r="UEM335" s="301" t="s">
        <v>470</v>
      </c>
      <c r="UEN335" s="301" t="s">
        <v>470</v>
      </c>
      <c r="UEO335" s="301" t="s">
        <v>470</v>
      </c>
      <c r="UEP335" s="301" t="s">
        <v>470</v>
      </c>
      <c r="UEQ335" s="301" t="s">
        <v>470</v>
      </c>
      <c r="UER335" s="301" t="s">
        <v>470</v>
      </c>
      <c r="UES335" s="301" t="s">
        <v>470</v>
      </c>
      <c r="UET335" s="301" t="s">
        <v>470</v>
      </c>
      <c r="UEU335" s="301" t="s">
        <v>470</v>
      </c>
      <c r="UEV335" s="301" t="s">
        <v>470</v>
      </c>
      <c r="UEW335" s="301" t="s">
        <v>470</v>
      </c>
      <c r="UEX335" s="301" t="s">
        <v>470</v>
      </c>
      <c r="UEY335" s="301" t="s">
        <v>470</v>
      </c>
      <c r="UEZ335" s="301" t="s">
        <v>470</v>
      </c>
      <c r="UFA335" s="301" t="s">
        <v>470</v>
      </c>
      <c r="UFB335" s="301" t="s">
        <v>470</v>
      </c>
      <c r="UFC335" s="301" t="s">
        <v>470</v>
      </c>
      <c r="UFD335" s="301" t="s">
        <v>470</v>
      </c>
      <c r="UFE335" s="301" t="s">
        <v>470</v>
      </c>
      <c r="UFF335" s="301" t="s">
        <v>470</v>
      </c>
      <c r="UFG335" s="301" t="s">
        <v>470</v>
      </c>
      <c r="UFH335" s="301" t="s">
        <v>470</v>
      </c>
      <c r="UFI335" s="301" t="s">
        <v>470</v>
      </c>
      <c r="UFJ335" s="301" t="s">
        <v>470</v>
      </c>
      <c r="UFK335" s="301" t="s">
        <v>470</v>
      </c>
      <c r="UFL335" s="301" t="s">
        <v>470</v>
      </c>
      <c r="UFM335" s="301" t="s">
        <v>470</v>
      </c>
      <c r="UFN335" s="301" t="s">
        <v>470</v>
      </c>
      <c r="UFO335" s="301" t="s">
        <v>470</v>
      </c>
      <c r="UFP335" s="301" t="s">
        <v>470</v>
      </c>
      <c r="UFQ335" s="301" t="s">
        <v>470</v>
      </c>
      <c r="UFR335" s="301" t="s">
        <v>470</v>
      </c>
      <c r="UFS335" s="301" t="s">
        <v>470</v>
      </c>
      <c r="UFT335" s="301" t="s">
        <v>470</v>
      </c>
      <c r="UFU335" s="301" t="s">
        <v>470</v>
      </c>
      <c r="UFV335" s="301" t="s">
        <v>470</v>
      </c>
      <c r="UFW335" s="301" t="s">
        <v>470</v>
      </c>
      <c r="UFX335" s="301" t="s">
        <v>470</v>
      </c>
      <c r="UFY335" s="301" t="s">
        <v>470</v>
      </c>
      <c r="UFZ335" s="301" t="s">
        <v>470</v>
      </c>
      <c r="UGA335" s="301" t="s">
        <v>470</v>
      </c>
      <c r="UGB335" s="301" t="s">
        <v>470</v>
      </c>
      <c r="UGC335" s="301" t="s">
        <v>470</v>
      </c>
      <c r="UGD335" s="301" t="s">
        <v>470</v>
      </c>
      <c r="UGE335" s="301" t="s">
        <v>470</v>
      </c>
      <c r="UGF335" s="301" t="s">
        <v>470</v>
      </c>
      <c r="UGG335" s="301" t="s">
        <v>470</v>
      </c>
      <c r="UGH335" s="301" t="s">
        <v>470</v>
      </c>
      <c r="UGI335" s="301" t="s">
        <v>470</v>
      </c>
      <c r="UGJ335" s="301" t="s">
        <v>470</v>
      </c>
      <c r="UGK335" s="301" t="s">
        <v>470</v>
      </c>
      <c r="UGL335" s="301" t="s">
        <v>470</v>
      </c>
      <c r="UGM335" s="301" t="s">
        <v>470</v>
      </c>
      <c r="UGN335" s="301" t="s">
        <v>470</v>
      </c>
      <c r="UGO335" s="301" t="s">
        <v>470</v>
      </c>
      <c r="UGP335" s="301" t="s">
        <v>470</v>
      </c>
      <c r="UGQ335" s="301" t="s">
        <v>470</v>
      </c>
      <c r="UGR335" s="301" t="s">
        <v>470</v>
      </c>
      <c r="UGS335" s="301" t="s">
        <v>470</v>
      </c>
      <c r="UGT335" s="301" t="s">
        <v>470</v>
      </c>
      <c r="UGU335" s="301" t="s">
        <v>470</v>
      </c>
      <c r="UGV335" s="301" t="s">
        <v>470</v>
      </c>
      <c r="UGW335" s="301" t="s">
        <v>470</v>
      </c>
      <c r="UGX335" s="301" t="s">
        <v>470</v>
      </c>
      <c r="UGY335" s="301" t="s">
        <v>470</v>
      </c>
      <c r="UGZ335" s="301" t="s">
        <v>470</v>
      </c>
      <c r="UHA335" s="301" t="s">
        <v>470</v>
      </c>
      <c r="UHB335" s="301" t="s">
        <v>470</v>
      </c>
      <c r="UHC335" s="301" t="s">
        <v>470</v>
      </c>
      <c r="UHD335" s="301" t="s">
        <v>470</v>
      </c>
      <c r="UHE335" s="301" t="s">
        <v>470</v>
      </c>
      <c r="UHF335" s="301" t="s">
        <v>470</v>
      </c>
      <c r="UHG335" s="301" t="s">
        <v>470</v>
      </c>
      <c r="UHH335" s="301" t="s">
        <v>470</v>
      </c>
      <c r="UHI335" s="301" t="s">
        <v>470</v>
      </c>
      <c r="UHJ335" s="301" t="s">
        <v>470</v>
      </c>
      <c r="UHK335" s="301" t="s">
        <v>470</v>
      </c>
      <c r="UHL335" s="301" t="s">
        <v>470</v>
      </c>
      <c r="UHM335" s="301" t="s">
        <v>470</v>
      </c>
      <c r="UHN335" s="301" t="s">
        <v>470</v>
      </c>
      <c r="UHO335" s="301" t="s">
        <v>470</v>
      </c>
      <c r="UHP335" s="301" t="s">
        <v>470</v>
      </c>
      <c r="UHQ335" s="301" t="s">
        <v>470</v>
      </c>
      <c r="UHR335" s="301" t="s">
        <v>470</v>
      </c>
      <c r="UHS335" s="301" t="s">
        <v>470</v>
      </c>
      <c r="UHT335" s="301" t="s">
        <v>470</v>
      </c>
      <c r="UHU335" s="301" t="s">
        <v>470</v>
      </c>
      <c r="UHV335" s="301" t="s">
        <v>470</v>
      </c>
      <c r="UHW335" s="301" t="s">
        <v>470</v>
      </c>
      <c r="UHX335" s="301" t="s">
        <v>470</v>
      </c>
      <c r="UHY335" s="301" t="s">
        <v>470</v>
      </c>
      <c r="UHZ335" s="301" t="s">
        <v>470</v>
      </c>
      <c r="UIA335" s="301" t="s">
        <v>470</v>
      </c>
      <c r="UIB335" s="301" t="s">
        <v>470</v>
      </c>
      <c r="UIC335" s="301" t="s">
        <v>470</v>
      </c>
      <c r="UID335" s="301" t="s">
        <v>470</v>
      </c>
      <c r="UIE335" s="301" t="s">
        <v>470</v>
      </c>
      <c r="UIF335" s="301" t="s">
        <v>470</v>
      </c>
      <c r="UIG335" s="301" t="s">
        <v>470</v>
      </c>
      <c r="UIH335" s="301" t="s">
        <v>470</v>
      </c>
      <c r="UII335" s="301" t="s">
        <v>470</v>
      </c>
      <c r="UIJ335" s="301" t="s">
        <v>470</v>
      </c>
      <c r="UIK335" s="301" t="s">
        <v>470</v>
      </c>
      <c r="UIL335" s="301" t="s">
        <v>470</v>
      </c>
      <c r="UIM335" s="301" t="s">
        <v>470</v>
      </c>
      <c r="UIN335" s="301" t="s">
        <v>470</v>
      </c>
      <c r="UIO335" s="301" t="s">
        <v>470</v>
      </c>
      <c r="UIP335" s="301" t="s">
        <v>470</v>
      </c>
      <c r="UIQ335" s="301" t="s">
        <v>470</v>
      </c>
      <c r="UIR335" s="301" t="s">
        <v>470</v>
      </c>
      <c r="UIS335" s="301" t="s">
        <v>470</v>
      </c>
      <c r="UIT335" s="301" t="s">
        <v>470</v>
      </c>
      <c r="UIU335" s="301" t="s">
        <v>470</v>
      </c>
      <c r="UIV335" s="301" t="s">
        <v>470</v>
      </c>
      <c r="UIW335" s="301" t="s">
        <v>470</v>
      </c>
      <c r="UIX335" s="301" t="s">
        <v>470</v>
      </c>
      <c r="UIY335" s="301" t="s">
        <v>470</v>
      </c>
      <c r="UIZ335" s="301" t="s">
        <v>470</v>
      </c>
      <c r="UJA335" s="301" t="s">
        <v>470</v>
      </c>
      <c r="UJB335" s="301" t="s">
        <v>470</v>
      </c>
      <c r="UJC335" s="301" t="s">
        <v>470</v>
      </c>
      <c r="UJD335" s="301" t="s">
        <v>470</v>
      </c>
      <c r="UJE335" s="301" t="s">
        <v>470</v>
      </c>
      <c r="UJF335" s="301" t="s">
        <v>470</v>
      </c>
      <c r="UJG335" s="301" t="s">
        <v>470</v>
      </c>
      <c r="UJH335" s="301" t="s">
        <v>470</v>
      </c>
      <c r="UJI335" s="301" t="s">
        <v>470</v>
      </c>
      <c r="UJJ335" s="301" t="s">
        <v>470</v>
      </c>
      <c r="UJK335" s="301" t="s">
        <v>470</v>
      </c>
      <c r="UJL335" s="301" t="s">
        <v>470</v>
      </c>
      <c r="UJM335" s="301" t="s">
        <v>470</v>
      </c>
      <c r="UJN335" s="301" t="s">
        <v>470</v>
      </c>
      <c r="UJO335" s="301" t="s">
        <v>470</v>
      </c>
      <c r="UJP335" s="301" t="s">
        <v>470</v>
      </c>
      <c r="UJQ335" s="301" t="s">
        <v>470</v>
      </c>
      <c r="UJR335" s="301" t="s">
        <v>470</v>
      </c>
      <c r="UJS335" s="301" t="s">
        <v>470</v>
      </c>
      <c r="UJT335" s="301" t="s">
        <v>470</v>
      </c>
      <c r="UJU335" s="301" t="s">
        <v>470</v>
      </c>
      <c r="UJV335" s="301" t="s">
        <v>470</v>
      </c>
      <c r="UJW335" s="301" t="s">
        <v>470</v>
      </c>
      <c r="UJX335" s="301" t="s">
        <v>470</v>
      </c>
      <c r="UJY335" s="301" t="s">
        <v>470</v>
      </c>
      <c r="UJZ335" s="301" t="s">
        <v>470</v>
      </c>
      <c r="UKA335" s="301" t="s">
        <v>470</v>
      </c>
      <c r="UKB335" s="301" t="s">
        <v>470</v>
      </c>
      <c r="UKC335" s="301" t="s">
        <v>470</v>
      </c>
      <c r="UKD335" s="301" t="s">
        <v>470</v>
      </c>
      <c r="UKE335" s="301" t="s">
        <v>470</v>
      </c>
      <c r="UKF335" s="301" t="s">
        <v>470</v>
      </c>
      <c r="UKG335" s="301" t="s">
        <v>470</v>
      </c>
      <c r="UKH335" s="301" t="s">
        <v>470</v>
      </c>
      <c r="UKI335" s="301" t="s">
        <v>470</v>
      </c>
      <c r="UKJ335" s="301" t="s">
        <v>470</v>
      </c>
      <c r="UKK335" s="301" t="s">
        <v>470</v>
      </c>
      <c r="UKL335" s="301" t="s">
        <v>470</v>
      </c>
      <c r="UKM335" s="301" t="s">
        <v>470</v>
      </c>
      <c r="UKN335" s="301" t="s">
        <v>470</v>
      </c>
      <c r="UKO335" s="301" t="s">
        <v>470</v>
      </c>
      <c r="UKP335" s="301" t="s">
        <v>470</v>
      </c>
      <c r="UKQ335" s="301" t="s">
        <v>470</v>
      </c>
      <c r="UKR335" s="301" t="s">
        <v>470</v>
      </c>
      <c r="UKS335" s="301" t="s">
        <v>470</v>
      </c>
      <c r="UKT335" s="301" t="s">
        <v>470</v>
      </c>
      <c r="UKU335" s="301" t="s">
        <v>470</v>
      </c>
      <c r="UKV335" s="301" t="s">
        <v>470</v>
      </c>
      <c r="UKW335" s="301" t="s">
        <v>470</v>
      </c>
      <c r="UKX335" s="301" t="s">
        <v>470</v>
      </c>
      <c r="UKY335" s="301" t="s">
        <v>470</v>
      </c>
      <c r="UKZ335" s="301" t="s">
        <v>470</v>
      </c>
      <c r="ULA335" s="301" t="s">
        <v>470</v>
      </c>
      <c r="ULB335" s="301" t="s">
        <v>470</v>
      </c>
      <c r="ULC335" s="301" t="s">
        <v>470</v>
      </c>
      <c r="ULD335" s="301" t="s">
        <v>470</v>
      </c>
      <c r="ULE335" s="301" t="s">
        <v>470</v>
      </c>
      <c r="ULF335" s="301" t="s">
        <v>470</v>
      </c>
      <c r="ULG335" s="301" t="s">
        <v>470</v>
      </c>
      <c r="ULH335" s="301" t="s">
        <v>470</v>
      </c>
      <c r="ULI335" s="301" t="s">
        <v>470</v>
      </c>
      <c r="ULJ335" s="301" t="s">
        <v>470</v>
      </c>
      <c r="ULK335" s="301" t="s">
        <v>470</v>
      </c>
      <c r="ULL335" s="301" t="s">
        <v>470</v>
      </c>
      <c r="ULM335" s="301" t="s">
        <v>470</v>
      </c>
      <c r="ULN335" s="301" t="s">
        <v>470</v>
      </c>
      <c r="ULO335" s="301" t="s">
        <v>470</v>
      </c>
      <c r="ULP335" s="301" t="s">
        <v>470</v>
      </c>
      <c r="ULQ335" s="301" t="s">
        <v>470</v>
      </c>
      <c r="ULR335" s="301" t="s">
        <v>470</v>
      </c>
      <c r="ULS335" s="301" t="s">
        <v>470</v>
      </c>
      <c r="ULT335" s="301" t="s">
        <v>470</v>
      </c>
      <c r="ULU335" s="301" t="s">
        <v>470</v>
      </c>
      <c r="ULV335" s="301" t="s">
        <v>470</v>
      </c>
      <c r="ULW335" s="301" t="s">
        <v>470</v>
      </c>
      <c r="ULX335" s="301" t="s">
        <v>470</v>
      </c>
      <c r="ULY335" s="301" t="s">
        <v>470</v>
      </c>
      <c r="ULZ335" s="301" t="s">
        <v>470</v>
      </c>
      <c r="UMA335" s="301" t="s">
        <v>470</v>
      </c>
      <c r="UMB335" s="301" t="s">
        <v>470</v>
      </c>
      <c r="UMC335" s="301" t="s">
        <v>470</v>
      </c>
      <c r="UMD335" s="301" t="s">
        <v>470</v>
      </c>
      <c r="UME335" s="301" t="s">
        <v>470</v>
      </c>
      <c r="UMF335" s="301" t="s">
        <v>470</v>
      </c>
      <c r="UMG335" s="301" t="s">
        <v>470</v>
      </c>
      <c r="UMH335" s="301" t="s">
        <v>470</v>
      </c>
      <c r="UMI335" s="301" t="s">
        <v>470</v>
      </c>
      <c r="UMJ335" s="301" t="s">
        <v>470</v>
      </c>
      <c r="UMK335" s="301" t="s">
        <v>470</v>
      </c>
      <c r="UML335" s="301" t="s">
        <v>470</v>
      </c>
      <c r="UMM335" s="301" t="s">
        <v>470</v>
      </c>
      <c r="UMN335" s="301" t="s">
        <v>470</v>
      </c>
      <c r="UMO335" s="301" t="s">
        <v>470</v>
      </c>
      <c r="UMP335" s="301" t="s">
        <v>470</v>
      </c>
      <c r="UMQ335" s="301" t="s">
        <v>470</v>
      </c>
      <c r="UMR335" s="301" t="s">
        <v>470</v>
      </c>
      <c r="UMS335" s="301" t="s">
        <v>470</v>
      </c>
      <c r="UMT335" s="301" t="s">
        <v>470</v>
      </c>
      <c r="UMU335" s="301" t="s">
        <v>470</v>
      </c>
      <c r="UMV335" s="301" t="s">
        <v>470</v>
      </c>
      <c r="UMW335" s="301" t="s">
        <v>470</v>
      </c>
      <c r="UMX335" s="301" t="s">
        <v>470</v>
      </c>
      <c r="UMY335" s="301" t="s">
        <v>470</v>
      </c>
      <c r="UMZ335" s="301" t="s">
        <v>470</v>
      </c>
      <c r="UNA335" s="301" t="s">
        <v>470</v>
      </c>
      <c r="UNB335" s="301" t="s">
        <v>470</v>
      </c>
      <c r="UNC335" s="301" t="s">
        <v>470</v>
      </c>
      <c r="UND335" s="301" t="s">
        <v>470</v>
      </c>
      <c r="UNE335" s="301" t="s">
        <v>470</v>
      </c>
      <c r="UNF335" s="301" t="s">
        <v>470</v>
      </c>
      <c r="UNG335" s="301" t="s">
        <v>470</v>
      </c>
      <c r="UNH335" s="301" t="s">
        <v>470</v>
      </c>
      <c r="UNI335" s="301" t="s">
        <v>470</v>
      </c>
      <c r="UNJ335" s="301" t="s">
        <v>470</v>
      </c>
      <c r="UNK335" s="301" t="s">
        <v>470</v>
      </c>
      <c r="UNL335" s="301" t="s">
        <v>470</v>
      </c>
      <c r="UNM335" s="301" t="s">
        <v>470</v>
      </c>
      <c r="UNN335" s="301" t="s">
        <v>470</v>
      </c>
      <c r="UNO335" s="301" t="s">
        <v>470</v>
      </c>
      <c r="UNP335" s="301" t="s">
        <v>470</v>
      </c>
      <c r="UNQ335" s="301" t="s">
        <v>470</v>
      </c>
      <c r="UNR335" s="301" t="s">
        <v>470</v>
      </c>
      <c r="UNS335" s="301" t="s">
        <v>470</v>
      </c>
      <c r="UNT335" s="301" t="s">
        <v>470</v>
      </c>
      <c r="UNU335" s="301" t="s">
        <v>470</v>
      </c>
      <c r="UNV335" s="301" t="s">
        <v>470</v>
      </c>
      <c r="UNW335" s="301" t="s">
        <v>470</v>
      </c>
      <c r="UNX335" s="301" t="s">
        <v>470</v>
      </c>
      <c r="UNY335" s="301" t="s">
        <v>470</v>
      </c>
      <c r="UNZ335" s="301" t="s">
        <v>470</v>
      </c>
      <c r="UOA335" s="301" t="s">
        <v>470</v>
      </c>
      <c r="UOB335" s="301" t="s">
        <v>470</v>
      </c>
      <c r="UOC335" s="301" t="s">
        <v>470</v>
      </c>
      <c r="UOD335" s="301" t="s">
        <v>470</v>
      </c>
      <c r="UOE335" s="301" t="s">
        <v>470</v>
      </c>
      <c r="UOF335" s="301" t="s">
        <v>470</v>
      </c>
      <c r="UOG335" s="301" t="s">
        <v>470</v>
      </c>
      <c r="UOH335" s="301" t="s">
        <v>470</v>
      </c>
      <c r="UOI335" s="301" t="s">
        <v>470</v>
      </c>
      <c r="UOJ335" s="301" t="s">
        <v>470</v>
      </c>
      <c r="UOK335" s="301" t="s">
        <v>470</v>
      </c>
      <c r="UOL335" s="301" t="s">
        <v>470</v>
      </c>
      <c r="UOM335" s="301" t="s">
        <v>470</v>
      </c>
      <c r="UON335" s="301" t="s">
        <v>470</v>
      </c>
      <c r="UOO335" s="301" t="s">
        <v>470</v>
      </c>
      <c r="UOP335" s="301" t="s">
        <v>470</v>
      </c>
      <c r="UOQ335" s="301" t="s">
        <v>470</v>
      </c>
      <c r="UOR335" s="301" t="s">
        <v>470</v>
      </c>
      <c r="UOS335" s="301" t="s">
        <v>470</v>
      </c>
      <c r="UOT335" s="301" t="s">
        <v>470</v>
      </c>
      <c r="UOU335" s="301" t="s">
        <v>470</v>
      </c>
      <c r="UOV335" s="301" t="s">
        <v>470</v>
      </c>
      <c r="UOW335" s="301" t="s">
        <v>470</v>
      </c>
      <c r="UOX335" s="301" t="s">
        <v>470</v>
      </c>
      <c r="UOY335" s="301" t="s">
        <v>470</v>
      </c>
      <c r="UOZ335" s="301" t="s">
        <v>470</v>
      </c>
      <c r="UPA335" s="301" t="s">
        <v>470</v>
      </c>
      <c r="UPB335" s="301" t="s">
        <v>470</v>
      </c>
      <c r="UPC335" s="301" t="s">
        <v>470</v>
      </c>
      <c r="UPD335" s="301" t="s">
        <v>470</v>
      </c>
      <c r="UPE335" s="301" t="s">
        <v>470</v>
      </c>
      <c r="UPF335" s="301" t="s">
        <v>470</v>
      </c>
      <c r="UPG335" s="301" t="s">
        <v>470</v>
      </c>
      <c r="UPH335" s="301" t="s">
        <v>470</v>
      </c>
      <c r="UPI335" s="301" t="s">
        <v>470</v>
      </c>
      <c r="UPJ335" s="301" t="s">
        <v>470</v>
      </c>
      <c r="UPK335" s="301" t="s">
        <v>470</v>
      </c>
      <c r="UPL335" s="301" t="s">
        <v>470</v>
      </c>
      <c r="UPM335" s="301" t="s">
        <v>470</v>
      </c>
      <c r="UPN335" s="301" t="s">
        <v>470</v>
      </c>
      <c r="UPO335" s="301" t="s">
        <v>470</v>
      </c>
      <c r="UPP335" s="301" t="s">
        <v>470</v>
      </c>
      <c r="UPQ335" s="301" t="s">
        <v>470</v>
      </c>
      <c r="UPR335" s="301" t="s">
        <v>470</v>
      </c>
      <c r="UPS335" s="301" t="s">
        <v>470</v>
      </c>
      <c r="UPT335" s="301" t="s">
        <v>470</v>
      </c>
      <c r="UPU335" s="301" t="s">
        <v>470</v>
      </c>
      <c r="UPV335" s="301" t="s">
        <v>470</v>
      </c>
      <c r="UPW335" s="301" t="s">
        <v>470</v>
      </c>
      <c r="UPX335" s="301" t="s">
        <v>470</v>
      </c>
      <c r="UPY335" s="301" t="s">
        <v>470</v>
      </c>
      <c r="UPZ335" s="301" t="s">
        <v>470</v>
      </c>
      <c r="UQA335" s="301" t="s">
        <v>470</v>
      </c>
      <c r="UQB335" s="301" t="s">
        <v>470</v>
      </c>
      <c r="UQC335" s="301" t="s">
        <v>470</v>
      </c>
      <c r="UQD335" s="301" t="s">
        <v>470</v>
      </c>
      <c r="UQE335" s="301" t="s">
        <v>470</v>
      </c>
      <c r="UQF335" s="301" t="s">
        <v>470</v>
      </c>
      <c r="UQG335" s="301" t="s">
        <v>470</v>
      </c>
      <c r="UQH335" s="301" t="s">
        <v>470</v>
      </c>
      <c r="UQI335" s="301" t="s">
        <v>470</v>
      </c>
      <c r="UQJ335" s="301" t="s">
        <v>470</v>
      </c>
      <c r="UQK335" s="301" t="s">
        <v>470</v>
      </c>
      <c r="UQL335" s="301" t="s">
        <v>470</v>
      </c>
      <c r="UQM335" s="301" t="s">
        <v>470</v>
      </c>
      <c r="UQN335" s="301" t="s">
        <v>470</v>
      </c>
      <c r="UQO335" s="301" t="s">
        <v>470</v>
      </c>
      <c r="UQP335" s="301" t="s">
        <v>470</v>
      </c>
      <c r="UQQ335" s="301" t="s">
        <v>470</v>
      </c>
      <c r="UQR335" s="301" t="s">
        <v>470</v>
      </c>
      <c r="UQS335" s="301" t="s">
        <v>470</v>
      </c>
      <c r="UQT335" s="301" t="s">
        <v>470</v>
      </c>
      <c r="UQU335" s="301" t="s">
        <v>470</v>
      </c>
      <c r="UQV335" s="301" t="s">
        <v>470</v>
      </c>
      <c r="UQW335" s="301" t="s">
        <v>470</v>
      </c>
      <c r="UQX335" s="301" t="s">
        <v>470</v>
      </c>
      <c r="UQY335" s="301" t="s">
        <v>470</v>
      </c>
      <c r="UQZ335" s="301" t="s">
        <v>470</v>
      </c>
      <c r="URA335" s="301" t="s">
        <v>470</v>
      </c>
      <c r="URB335" s="301" t="s">
        <v>470</v>
      </c>
      <c r="URC335" s="301" t="s">
        <v>470</v>
      </c>
      <c r="URD335" s="301" t="s">
        <v>470</v>
      </c>
      <c r="URE335" s="301" t="s">
        <v>470</v>
      </c>
      <c r="URF335" s="301" t="s">
        <v>470</v>
      </c>
      <c r="URG335" s="301" t="s">
        <v>470</v>
      </c>
      <c r="URH335" s="301" t="s">
        <v>470</v>
      </c>
      <c r="URI335" s="301" t="s">
        <v>470</v>
      </c>
      <c r="URJ335" s="301" t="s">
        <v>470</v>
      </c>
      <c r="URK335" s="301" t="s">
        <v>470</v>
      </c>
      <c r="URL335" s="301" t="s">
        <v>470</v>
      </c>
      <c r="URM335" s="301" t="s">
        <v>470</v>
      </c>
      <c r="URN335" s="301" t="s">
        <v>470</v>
      </c>
      <c r="URO335" s="301" t="s">
        <v>470</v>
      </c>
      <c r="URP335" s="301" t="s">
        <v>470</v>
      </c>
      <c r="URQ335" s="301" t="s">
        <v>470</v>
      </c>
      <c r="URR335" s="301" t="s">
        <v>470</v>
      </c>
      <c r="URS335" s="301" t="s">
        <v>470</v>
      </c>
      <c r="URT335" s="301" t="s">
        <v>470</v>
      </c>
      <c r="URU335" s="301" t="s">
        <v>470</v>
      </c>
      <c r="URV335" s="301" t="s">
        <v>470</v>
      </c>
      <c r="URW335" s="301" t="s">
        <v>470</v>
      </c>
      <c r="URX335" s="301" t="s">
        <v>470</v>
      </c>
      <c r="URY335" s="301" t="s">
        <v>470</v>
      </c>
      <c r="URZ335" s="301" t="s">
        <v>470</v>
      </c>
      <c r="USA335" s="301" t="s">
        <v>470</v>
      </c>
      <c r="USB335" s="301" t="s">
        <v>470</v>
      </c>
      <c r="USC335" s="301" t="s">
        <v>470</v>
      </c>
      <c r="USD335" s="301" t="s">
        <v>470</v>
      </c>
      <c r="USE335" s="301" t="s">
        <v>470</v>
      </c>
      <c r="USF335" s="301" t="s">
        <v>470</v>
      </c>
      <c r="USG335" s="301" t="s">
        <v>470</v>
      </c>
      <c r="USH335" s="301" t="s">
        <v>470</v>
      </c>
      <c r="USI335" s="301" t="s">
        <v>470</v>
      </c>
      <c r="USJ335" s="301" t="s">
        <v>470</v>
      </c>
      <c r="USK335" s="301" t="s">
        <v>470</v>
      </c>
      <c r="USL335" s="301" t="s">
        <v>470</v>
      </c>
      <c r="USM335" s="301" t="s">
        <v>470</v>
      </c>
      <c r="USN335" s="301" t="s">
        <v>470</v>
      </c>
      <c r="USO335" s="301" t="s">
        <v>470</v>
      </c>
      <c r="USP335" s="301" t="s">
        <v>470</v>
      </c>
      <c r="USQ335" s="301" t="s">
        <v>470</v>
      </c>
      <c r="USR335" s="301" t="s">
        <v>470</v>
      </c>
      <c r="USS335" s="301" t="s">
        <v>470</v>
      </c>
      <c r="UST335" s="301" t="s">
        <v>470</v>
      </c>
      <c r="USU335" s="301" t="s">
        <v>470</v>
      </c>
      <c r="USV335" s="301" t="s">
        <v>470</v>
      </c>
      <c r="USW335" s="301" t="s">
        <v>470</v>
      </c>
      <c r="USX335" s="301" t="s">
        <v>470</v>
      </c>
      <c r="USY335" s="301" t="s">
        <v>470</v>
      </c>
      <c r="USZ335" s="301" t="s">
        <v>470</v>
      </c>
      <c r="UTA335" s="301" t="s">
        <v>470</v>
      </c>
      <c r="UTB335" s="301" t="s">
        <v>470</v>
      </c>
      <c r="UTC335" s="301" t="s">
        <v>470</v>
      </c>
      <c r="UTD335" s="301" t="s">
        <v>470</v>
      </c>
      <c r="UTE335" s="301" t="s">
        <v>470</v>
      </c>
      <c r="UTF335" s="301" t="s">
        <v>470</v>
      </c>
      <c r="UTG335" s="301" t="s">
        <v>470</v>
      </c>
      <c r="UTH335" s="301" t="s">
        <v>470</v>
      </c>
      <c r="UTI335" s="301" t="s">
        <v>470</v>
      </c>
      <c r="UTJ335" s="301" t="s">
        <v>470</v>
      </c>
      <c r="UTK335" s="301" t="s">
        <v>470</v>
      </c>
      <c r="UTL335" s="301" t="s">
        <v>470</v>
      </c>
      <c r="UTM335" s="301" t="s">
        <v>470</v>
      </c>
      <c r="UTN335" s="301" t="s">
        <v>470</v>
      </c>
      <c r="UTO335" s="301" t="s">
        <v>470</v>
      </c>
      <c r="UTP335" s="301" t="s">
        <v>470</v>
      </c>
      <c r="UTQ335" s="301" t="s">
        <v>470</v>
      </c>
      <c r="UTR335" s="301" t="s">
        <v>470</v>
      </c>
      <c r="UTS335" s="301" t="s">
        <v>470</v>
      </c>
      <c r="UTT335" s="301" t="s">
        <v>470</v>
      </c>
      <c r="UTU335" s="301" t="s">
        <v>470</v>
      </c>
      <c r="UTV335" s="301" t="s">
        <v>470</v>
      </c>
      <c r="UTW335" s="301" t="s">
        <v>470</v>
      </c>
      <c r="UTX335" s="301" t="s">
        <v>470</v>
      </c>
      <c r="UTY335" s="301" t="s">
        <v>470</v>
      </c>
      <c r="UTZ335" s="301" t="s">
        <v>470</v>
      </c>
      <c r="UUA335" s="301" t="s">
        <v>470</v>
      </c>
      <c r="UUB335" s="301" t="s">
        <v>470</v>
      </c>
      <c r="UUC335" s="301" t="s">
        <v>470</v>
      </c>
      <c r="UUD335" s="301" t="s">
        <v>470</v>
      </c>
      <c r="UUE335" s="301" t="s">
        <v>470</v>
      </c>
      <c r="UUF335" s="301" t="s">
        <v>470</v>
      </c>
      <c r="UUG335" s="301" t="s">
        <v>470</v>
      </c>
      <c r="UUH335" s="301" t="s">
        <v>470</v>
      </c>
      <c r="UUI335" s="301" t="s">
        <v>470</v>
      </c>
      <c r="UUJ335" s="301" t="s">
        <v>470</v>
      </c>
      <c r="UUK335" s="301" t="s">
        <v>470</v>
      </c>
      <c r="UUL335" s="301" t="s">
        <v>470</v>
      </c>
      <c r="UUM335" s="301" t="s">
        <v>470</v>
      </c>
      <c r="UUN335" s="301" t="s">
        <v>470</v>
      </c>
      <c r="UUO335" s="301" t="s">
        <v>470</v>
      </c>
      <c r="UUP335" s="301" t="s">
        <v>470</v>
      </c>
      <c r="UUQ335" s="301" t="s">
        <v>470</v>
      </c>
      <c r="UUR335" s="301" t="s">
        <v>470</v>
      </c>
      <c r="UUS335" s="301" t="s">
        <v>470</v>
      </c>
      <c r="UUT335" s="301" t="s">
        <v>470</v>
      </c>
      <c r="UUU335" s="301" t="s">
        <v>470</v>
      </c>
      <c r="UUV335" s="301" t="s">
        <v>470</v>
      </c>
      <c r="UUW335" s="301" t="s">
        <v>470</v>
      </c>
      <c r="UUX335" s="301" t="s">
        <v>470</v>
      </c>
      <c r="UUY335" s="301" t="s">
        <v>470</v>
      </c>
      <c r="UUZ335" s="301" t="s">
        <v>470</v>
      </c>
      <c r="UVA335" s="301" t="s">
        <v>470</v>
      </c>
      <c r="UVB335" s="301" t="s">
        <v>470</v>
      </c>
      <c r="UVC335" s="301" t="s">
        <v>470</v>
      </c>
      <c r="UVD335" s="301" t="s">
        <v>470</v>
      </c>
      <c r="UVE335" s="301" t="s">
        <v>470</v>
      </c>
      <c r="UVF335" s="301" t="s">
        <v>470</v>
      </c>
      <c r="UVG335" s="301" t="s">
        <v>470</v>
      </c>
      <c r="UVH335" s="301" t="s">
        <v>470</v>
      </c>
      <c r="UVI335" s="301" t="s">
        <v>470</v>
      </c>
      <c r="UVJ335" s="301" t="s">
        <v>470</v>
      </c>
      <c r="UVK335" s="301" t="s">
        <v>470</v>
      </c>
      <c r="UVL335" s="301" t="s">
        <v>470</v>
      </c>
      <c r="UVM335" s="301" t="s">
        <v>470</v>
      </c>
      <c r="UVN335" s="301" t="s">
        <v>470</v>
      </c>
      <c r="UVO335" s="301" t="s">
        <v>470</v>
      </c>
      <c r="UVP335" s="301" t="s">
        <v>470</v>
      </c>
      <c r="UVQ335" s="301" t="s">
        <v>470</v>
      </c>
      <c r="UVR335" s="301" t="s">
        <v>470</v>
      </c>
      <c r="UVS335" s="301" t="s">
        <v>470</v>
      </c>
      <c r="UVT335" s="301" t="s">
        <v>470</v>
      </c>
      <c r="UVU335" s="301" t="s">
        <v>470</v>
      </c>
      <c r="UVV335" s="301" t="s">
        <v>470</v>
      </c>
      <c r="UVW335" s="301" t="s">
        <v>470</v>
      </c>
      <c r="UVX335" s="301" t="s">
        <v>470</v>
      </c>
      <c r="UVY335" s="301" t="s">
        <v>470</v>
      </c>
      <c r="UVZ335" s="301" t="s">
        <v>470</v>
      </c>
      <c r="UWA335" s="301" t="s">
        <v>470</v>
      </c>
      <c r="UWB335" s="301" t="s">
        <v>470</v>
      </c>
      <c r="UWC335" s="301" t="s">
        <v>470</v>
      </c>
      <c r="UWD335" s="301" t="s">
        <v>470</v>
      </c>
      <c r="UWE335" s="301" t="s">
        <v>470</v>
      </c>
      <c r="UWF335" s="301" t="s">
        <v>470</v>
      </c>
      <c r="UWG335" s="301" t="s">
        <v>470</v>
      </c>
      <c r="UWH335" s="301" t="s">
        <v>470</v>
      </c>
      <c r="UWI335" s="301" t="s">
        <v>470</v>
      </c>
      <c r="UWJ335" s="301" t="s">
        <v>470</v>
      </c>
      <c r="UWK335" s="301" t="s">
        <v>470</v>
      </c>
      <c r="UWL335" s="301" t="s">
        <v>470</v>
      </c>
      <c r="UWM335" s="301" t="s">
        <v>470</v>
      </c>
      <c r="UWN335" s="301" t="s">
        <v>470</v>
      </c>
      <c r="UWO335" s="301" t="s">
        <v>470</v>
      </c>
      <c r="UWP335" s="301" t="s">
        <v>470</v>
      </c>
      <c r="UWQ335" s="301" t="s">
        <v>470</v>
      </c>
      <c r="UWR335" s="301" t="s">
        <v>470</v>
      </c>
      <c r="UWS335" s="301" t="s">
        <v>470</v>
      </c>
      <c r="UWT335" s="301" t="s">
        <v>470</v>
      </c>
      <c r="UWU335" s="301" t="s">
        <v>470</v>
      </c>
      <c r="UWV335" s="301" t="s">
        <v>470</v>
      </c>
      <c r="UWW335" s="301" t="s">
        <v>470</v>
      </c>
      <c r="UWX335" s="301" t="s">
        <v>470</v>
      </c>
      <c r="UWY335" s="301" t="s">
        <v>470</v>
      </c>
      <c r="UWZ335" s="301" t="s">
        <v>470</v>
      </c>
      <c r="UXA335" s="301" t="s">
        <v>470</v>
      </c>
      <c r="UXB335" s="301" t="s">
        <v>470</v>
      </c>
      <c r="UXC335" s="301" t="s">
        <v>470</v>
      </c>
      <c r="UXD335" s="301" t="s">
        <v>470</v>
      </c>
      <c r="UXE335" s="301" t="s">
        <v>470</v>
      </c>
      <c r="UXF335" s="301" t="s">
        <v>470</v>
      </c>
      <c r="UXG335" s="301" t="s">
        <v>470</v>
      </c>
      <c r="UXH335" s="301" t="s">
        <v>470</v>
      </c>
      <c r="UXI335" s="301" t="s">
        <v>470</v>
      </c>
      <c r="UXJ335" s="301" t="s">
        <v>470</v>
      </c>
      <c r="UXK335" s="301" t="s">
        <v>470</v>
      </c>
      <c r="UXL335" s="301" t="s">
        <v>470</v>
      </c>
      <c r="UXM335" s="301" t="s">
        <v>470</v>
      </c>
      <c r="UXN335" s="301" t="s">
        <v>470</v>
      </c>
      <c r="UXO335" s="301" t="s">
        <v>470</v>
      </c>
      <c r="UXP335" s="301" t="s">
        <v>470</v>
      </c>
      <c r="UXQ335" s="301" t="s">
        <v>470</v>
      </c>
      <c r="UXR335" s="301" t="s">
        <v>470</v>
      </c>
      <c r="UXS335" s="301" t="s">
        <v>470</v>
      </c>
      <c r="UXT335" s="301" t="s">
        <v>470</v>
      </c>
      <c r="UXU335" s="301" t="s">
        <v>470</v>
      </c>
      <c r="UXV335" s="301" t="s">
        <v>470</v>
      </c>
      <c r="UXW335" s="301" t="s">
        <v>470</v>
      </c>
      <c r="UXX335" s="301" t="s">
        <v>470</v>
      </c>
      <c r="UXY335" s="301" t="s">
        <v>470</v>
      </c>
      <c r="UXZ335" s="301" t="s">
        <v>470</v>
      </c>
      <c r="UYA335" s="301" t="s">
        <v>470</v>
      </c>
      <c r="UYB335" s="301" t="s">
        <v>470</v>
      </c>
      <c r="UYC335" s="301" t="s">
        <v>470</v>
      </c>
      <c r="UYD335" s="301" t="s">
        <v>470</v>
      </c>
      <c r="UYE335" s="301" t="s">
        <v>470</v>
      </c>
      <c r="UYF335" s="301" t="s">
        <v>470</v>
      </c>
      <c r="UYG335" s="301" t="s">
        <v>470</v>
      </c>
      <c r="UYH335" s="301" t="s">
        <v>470</v>
      </c>
      <c r="UYI335" s="301" t="s">
        <v>470</v>
      </c>
      <c r="UYJ335" s="301" t="s">
        <v>470</v>
      </c>
      <c r="UYK335" s="301" t="s">
        <v>470</v>
      </c>
      <c r="UYL335" s="301" t="s">
        <v>470</v>
      </c>
      <c r="UYM335" s="301" t="s">
        <v>470</v>
      </c>
      <c r="UYN335" s="301" t="s">
        <v>470</v>
      </c>
      <c r="UYO335" s="301" t="s">
        <v>470</v>
      </c>
      <c r="UYP335" s="301" t="s">
        <v>470</v>
      </c>
      <c r="UYQ335" s="301" t="s">
        <v>470</v>
      </c>
      <c r="UYR335" s="301" t="s">
        <v>470</v>
      </c>
      <c r="UYS335" s="301" t="s">
        <v>470</v>
      </c>
      <c r="UYT335" s="301" t="s">
        <v>470</v>
      </c>
      <c r="UYU335" s="301" t="s">
        <v>470</v>
      </c>
      <c r="UYV335" s="301" t="s">
        <v>470</v>
      </c>
      <c r="UYW335" s="301" t="s">
        <v>470</v>
      </c>
      <c r="UYX335" s="301" t="s">
        <v>470</v>
      </c>
      <c r="UYY335" s="301" t="s">
        <v>470</v>
      </c>
      <c r="UYZ335" s="301" t="s">
        <v>470</v>
      </c>
      <c r="UZA335" s="301" t="s">
        <v>470</v>
      </c>
      <c r="UZB335" s="301" t="s">
        <v>470</v>
      </c>
      <c r="UZC335" s="301" t="s">
        <v>470</v>
      </c>
      <c r="UZD335" s="301" t="s">
        <v>470</v>
      </c>
      <c r="UZE335" s="301" t="s">
        <v>470</v>
      </c>
      <c r="UZF335" s="301" t="s">
        <v>470</v>
      </c>
      <c r="UZG335" s="301" t="s">
        <v>470</v>
      </c>
      <c r="UZH335" s="301" t="s">
        <v>470</v>
      </c>
      <c r="UZI335" s="301" t="s">
        <v>470</v>
      </c>
      <c r="UZJ335" s="301" t="s">
        <v>470</v>
      </c>
      <c r="UZK335" s="301" t="s">
        <v>470</v>
      </c>
      <c r="UZL335" s="301" t="s">
        <v>470</v>
      </c>
      <c r="UZM335" s="301" t="s">
        <v>470</v>
      </c>
      <c r="UZN335" s="301" t="s">
        <v>470</v>
      </c>
      <c r="UZO335" s="301" t="s">
        <v>470</v>
      </c>
      <c r="UZP335" s="301" t="s">
        <v>470</v>
      </c>
      <c r="UZQ335" s="301" t="s">
        <v>470</v>
      </c>
      <c r="UZR335" s="301" t="s">
        <v>470</v>
      </c>
      <c r="UZS335" s="301" t="s">
        <v>470</v>
      </c>
      <c r="UZT335" s="301" t="s">
        <v>470</v>
      </c>
      <c r="UZU335" s="301" t="s">
        <v>470</v>
      </c>
      <c r="UZV335" s="301" t="s">
        <v>470</v>
      </c>
      <c r="UZW335" s="301" t="s">
        <v>470</v>
      </c>
      <c r="UZX335" s="301" t="s">
        <v>470</v>
      </c>
      <c r="UZY335" s="301" t="s">
        <v>470</v>
      </c>
      <c r="UZZ335" s="301" t="s">
        <v>470</v>
      </c>
      <c r="VAA335" s="301" t="s">
        <v>470</v>
      </c>
      <c r="VAB335" s="301" t="s">
        <v>470</v>
      </c>
      <c r="VAC335" s="301" t="s">
        <v>470</v>
      </c>
      <c r="VAD335" s="301" t="s">
        <v>470</v>
      </c>
      <c r="VAE335" s="301" t="s">
        <v>470</v>
      </c>
      <c r="VAF335" s="301" t="s">
        <v>470</v>
      </c>
      <c r="VAG335" s="301" t="s">
        <v>470</v>
      </c>
      <c r="VAH335" s="301" t="s">
        <v>470</v>
      </c>
      <c r="VAI335" s="301" t="s">
        <v>470</v>
      </c>
      <c r="VAJ335" s="301" t="s">
        <v>470</v>
      </c>
      <c r="VAK335" s="301" t="s">
        <v>470</v>
      </c>
      <c r="VAL335" s="301" t="s">
        <v>470</v>
      </c>
      <c r="VAM335" s="301" t="s">
        <v>470</v>
      </c>
      <c r="VAN335" s="301" t="s">
        <v>470</v>
      </c>
      <c r="VAO335" s="301" t="s">
        <v>470</v>
      </c>
      <c r="VAP335" s="301" t="s">
        <v>470</v>
      </c>
      <c r="VAQ335" s="301" t="s">
        <v>470</v>
      </c>
      <c r="VAR335" s="301" t="s">
        <v>470</v>
      </c>
      <c r="VAS335" s="301" t="s">
        <v>470</v>
      </c>
      <c r="VAT335" s="301" t="s">
        <v>470</v>
      </c>
      <c r="VAU335" s="301" t="s">
        <v>470</v>
      </c>
      <c r="VAV335" s="301" t="s">
        <v>470</v>
      </c>
      <c r="VAW335" s="301" t="s">
        <v>470</v>
      </c>
      <c r="VAX335" s="301" t="s">
        <v>470</v>
      </c>
      <c r="VAY335" s="301" t="s">
        <v>470</v>
      </c>
      <c r="VAZ335" s="301" t="s">
        <v>470</v>
      </c>
      <c r="VBA335" s="301" t="s">
        <v>470</v>
      </c>
      <c r="VBB335" s="301" t="s">
        <v>470</v>
      </c>
      <c r="VBC335" s="301" t="s">
        <v>470</v>
      </c>
      <c r="VBD335" s="301" t="s">
        <v>470</v>
      </c>
      <c r="VBE335" s="301" t="s">
        <v>470</v>
      </c>
      <c r="VBF335" s="301" t="s">
        <v>470</v>
      </c>
      <c r="VBG335" s="301" t="s">
        <v>470</v>
      </c>
      <c r="VBH335" s="301" t="s">
        <v>470</v>
      </c>
      <c r="VBI335" s="301" t="s">
        <v>470</v>
      </c>
      <c r="VBJ335" s="301" t="s">
        <v>470</v>
      </c>
      <c r="VBK335" s="301" t="s">
        <v>470</v>
      </c>
      <c r="VBL335" s="301" t="s">
        <v>470</v>
      </c>
      <c r="VBM335" s="301" t="s">
        <v>470</v>
      </c>
      <c r="VBN335" s="301" t="s">
        <v>470</v>
      </c>
      <c r="VBO335" s="301" t="s">
        <v>470</v>
      </c>
      <c r="VBP335" s="301" t="s">
        <v>470</v>
      </c>
      <c r="VBQ335" s="301" t="s">
        <v>470</v>
      </c>
      <c r="VBR335" s="301" t="s">
        <v>470</v>
      </c>
      <c r="VBS335" s="301" t="s">
        <v>470</v>
      </c>
      <c r="VBT335" s="301" t="s">
        <v>470</v>
      </c>
      <c r="VBU335" s="301" t="s">
        <v>470</v>
      </c>
      <c r="VBV335" s="301" t="s">
        <v>470</v>
      </c>
      <c r="VBW335" s="301" t="s">
        <v>470</v>
      </c>
      <c r="VBX335" s="301" t="s">
        <v>470</v>
      </c>
      <c r="VBY335" s="301" t="s">
        <v>470</v>
      </c>
      <c r="VBZ335" s="301" t="s">
        <v>470</v>
      </c>
      <c r="VCA335" s="301" t="s">
        <v>470</v>
      </c>
      <c r="VCB335" s="301" t="s">
        <v>470</v>
      </c>
      <c r="VCC335" s="301" t="s">
        <v>470</v>
      </c>
      <c r="VCD335" s="301" t="s">
        <v>470</v>
      </c>
      <c r="VCE335" s="301" t="s">
        <v>470</v>
      </c>
      <c r="VCF335" s="301" t="s">
        <v>470</v>
      </c>
      <c r="VCG335" s="301" t="s">
        <v>470</v>
      </c>
      <c r="VCH335" s="301" t="s">
        <v>470</v>
      </c>
      <c r="VCI335" s="301" t="s">
        <v>470</v>
      </c>
      <c r="VCJ335" s="301" t="s">
        <v>470</v>
      </c>
      <c r="VCK335" s="301" t="s">
        <v>470</v>
      </c>
      <c r="VCL335" s="301" t="s">
        <v>470</v>
      </c>
      <c r="VCM335" s="301" t="s">
        <v>470</v>
      </c>
      <c r="VCN335" s="301" t="s">
        <v>470</v>
      </c>
      <c r="VCO335" s="301" t="s">
        <v>470</v>
      </c>
      <c r="VCP335" s="301" t="s">
        <v>470</v>
      </c>
      <c r="VCQ335" s="301" t="s">
        <v>470</v>
      </c>
      <c r="VCR335" s="301" t="s">
        <v>470</v>
      </c>
      <c r="VCS335" s="301" t="s">
        <v>470</v>
      </c>
      <c r="VCT335" s="301" t="s">
        <v>470</v>
      </c>
      <c r="VCU335" s="301" t="s">
        <v>470</v>
      </c>
      <c r="VCV335" s="301" t="s">
        <v>470</v>
      </c>
      <c r="VCW335" s="301" t="s">
        <v>470</v>
      </c>
      <c r="VCX335" s="301" t="s">
        <v>470</v>
      </c>
      <c r="VCY335" s="301" t="s">
        <v>470</v>
      </c>
      <c r="VCZ335" s="301" t="s">
        <v>470</v>
      </c>
      <c r="VDA335" s="301" t="s">
        <v>470</v>
      </c>
      <c r="VDB335" s="301" t="s">
        <v>470</v>
      </c>
      <c r="VDC335" s="301" t="s">
        <v>470</v>
      </c>
      <c r="VDD335" s="301" t="s">
        <v>470</v>
      </c>
      <c r="VDE335" s="301" t="s">
        <v>470</v>
      </c>
      <c r="VDF335" s="301" t="s">
        <v>470</v>
      </c>
      <c r="VDG335" s="301" t="s">
        <v>470</v>
      </c>
      <c r="VDH335" s="301" t="s">
        <v>470</v>
      </c>
      <c r="VDI335" s="301" t="s">
        <v>470</v>
      </c>
      <c r="VDJ335" s="301" t="s">
        <v>470</v>
      </c>
      <c r="VDK335" s="301" t="s">
        <v>470</v>
      </c>
      <c r="VDL335" s="301" t="s">
        <v>470</v>
      </c>
      <c r="VDM335" s="301" t="s">
        <v>470</v>
      </c>
      <c r="VDN335" s="301" t="s">
        <v>470</v>
      </c>
      <c r="VDO335" s="301" t="s">
        <v>470</v>
      </c>
      <c r="VDP335" s="301" t="s">
        <v>470</v>
      </c>
      <c r="VDQ335" s="301" t="s">
        <v>470</v>
      </c>
      <c r="VDR335" s="301" t="s">
        <v>470</v>
      </c>
      <c r="VDS335" s="301" t="s">
        <v>470</v>
      </c>
      <c r="VDT335" s="301" t="s">
        <v>470</v>
      </c>
      <c r="VDU335" s="301" t="s">
        <v>470</v>
      </c>
      <c r="VDV335" s="301" t="s">
        <v>470</v>
      </c>
      <c r="VDW335" s="301" t="s">
        <v>470</v>
      </c>
      <c r="VDX335" s="301" t="s">
        <v>470</v>
      </c>
      <c r="VDY335" s="301" t="s">
        <v>470</v>
      </c>
      <c r="VDZ335" s="301" t="s">
        <v>470</v>
      </c>
      <c r="VEA335" s="301" t="s">
        <v>470</v>
      </c>
      <c r="VEB335" s="301" t="s">
        <v>470</v>
      </c>
      <c r="VEC335" s="301" t="s">
        <v>470</v>
      </c>
      <c r="VED335" s="301" t="s">
        <v>470</v>
      </c>
      <c r="VEE335" s="301" t="s">
        <v>470</v>
      </c>
      <c r="VEF335" s="301" t="s">
        <v>470</v>
      </c>
      <c r="VEG335" s="301" t="s">
        <v>470</v>
      </c>
      <c r="VEH335" s="301" t="s">
        <v>470</v>
      </c>
      <c r="VEI335" s="301" t="s">
        <v>470</v>
      </c>
      <c r="VEJ335" s="301" t="s">
        <v>470</v>
      </c>
      <c r="VEK335" s="301" t="s">
        <v>470</v>
      </c>
      <c r="VEL335" s="301" t="s">
        <v>470</v>
      </c>
      <c r="VEM335" s="301" t="s">
        <v>470</v>
      </c>
      <c r="VEN335" s="301" t="s">
        <v>470</v>
      </c>
      <c r="VEO335" s="301" t="s">
        <v>470</v>
      </c>
      <c r="VEP335" s="301" t="s">
        <v>470</v>
      </c>
      <c r="VEQ335" s="301" t="s">
        <v>470</v>
      </c>
      <c r="VER335" s="301" t="s">
        <v>470</v>
      </c>
      <c r="VES335" s="301" t="s">
        <v>470</v>
      </c>
      <c r="VET335" s="301" t="s">
        <v>470</v>
      </c>
      <c r="VEU335" s="301" t="s">
        <v>470</v>
      </c>
      <c r="VEV335" s="301" t="s">
        <v>470</v>
      </c>
      <c r="VEW335" s="301" t="s">
        <v>470</v>
      </c>
      <c r="VEX335" s="301" t="s">
        <v>470</v>
      </c>
      <c r="VEY335" s="301" t="s">
        <v>470</v>
      </c>
      <c r="VEZ335" s="301" t="s">
        <v>470</v>
      </c>
      <c r="VFA335" s="301" t="s">
        <v>470</v>
      </c>
      <c r="VFB335" s="301" t="s">
        <v>470</v>
      </c>
      <c r="VFC335" s="301" t="s">
        <v>470</v>
      </c>
      <c r="VFD335" s="301" t="s">
        <v>470</v>
      </c>
      <c r="VFE335" s="301" t="s">
        <v>470</v>
      </c>
      <c r="VFF335" s="301" t="s">
        <v>470</v>
      </c>
      <c r="VFG335" s="301" t="s">
        <v>470</v>
      </c>
      <c r="VFH335" s="301" t="s">
        <v>470</v>
      </c>
      <c r="VFI335" s="301" t="s">
        <v>470</v>
      </c>
      <c r="VFJ335" s="301" t="s">
        <v>470</v>
      </c>
      <c r="VFK335" s="301" t="s">
        <v>470</v>
      </c>
      <c r="VFL335" s="301" t="s">
        <v>470</v>
      </c>
      <c r="VFM335" s="301" t="s">
        <v>470</v>
      </c>
      <c r="VFN335" s="301" t="s">
        <v>470</v>
      </c>
      <c r="VFO335" s="301" t="s">
        <v>470</v>
      </c>
      <c r="VFP335" s="301" t="s">
        <v>470</v>
      </c>
      <c r="VFQ335" s="301" t="s">
        <v>470</v>
      </c>
      <c r="VFR335" s="301" t="s">
        <v>470</v>
      </c>
      <c r="VFS335" s="301" t="s">
        <v>470</v>
      </c>
      <c r="VFT335" s="301" t="s">
        <v>470</v>
      </c>
      <c r="VFU335" s="301" t="s">
        <v>470</v>
      </c>
      <c r="VFV335" s="301" t="s">
        <v>470</v>
      </c>
      <c r="VFW335" s="301" t="s">
        <v>470</v>
      </c>
      <c r="VFX335" s="301" t="s">
        <v>470</v>
      </c>
      <c r="VFY335" s="301" t="s">
        <v>470</v>
      </c>
      <c r="VFZ335" s="301" t="s">
        <v>470</v>
      </c>
      <c r="VGA335" s="301" t="s">
        <v>470</v>
      </c>
      <c r="VGB335" s="301" t="s">
        <v>470</v>
      </c>
      <c r="VGC335" s="301" t="s">
        <v>470</v>
      </c>
      <c r="VGD335" s="301" t="s">
        <v>470</v>
      </c>
      <c r="VGE335" s="301" t="s">
        <v>470</v>
      </c>
      <c r="VGF335" s="301" t="s">
        <v>470</v>
      </c>
      <c r="VGG335" s="301" t="s">
        <v>470</v>
      </c>
      <c r="VGH335" s="301" t="s">
        <v>470</v>
      </c>
      <c r="VGI335" s="301" t="s">
        <v>470</v>
      </c>
      <c r="VGJ335" s="301" t="s">
        <v>470</v>
      </c>
      <c r="VGK335" s="301" t="s">
        <v>470</v>
      </c>
      <c r="VGL335" s="301" t="s">
        <v>470</v>
      </c>
      <c r="VGM335" s="301" t="s">
        <v>470</v>
      </c>
      <c r="VGN335" s="301" t="s">
        <v>470</v>
      </c>
      <c r="VGO335" s="301" t="s">
        <v>470</v>
      </c>
      <c r="VGP335" s="301" t="s">
        <v>470</v>
      </c>
      <c r="VGQ335" s="301" t="s">
        <v>470</v>
      </c>
      <c r="VGR335" s="301" t="s">
        <v>470</v>
      </c>
      <c r="VGS335" s="301" t="s">
        <v>470</v>
      </c>
      <c r="VGT335" s="301" t="s">
        <v>470</v>
      </c>
      <c r="VGU335" s="301" t="s">
        <v>470</v>
      </c>
      <c r="VGV335" s="301" t="s">
        <v>470</v>
      </c>
      <c r="VGW335" s="301" t="s">
        <v>470</v>
      </c>
      <c r="VGX335" s="301" t="s">
        <v>470</v>
      </c>
      <c r="VGY335" s="301" t="s">
        <v>470</v>
      </c>
      <c r="VGZ335" s="301" t="s">
        <v>470</v>
      </c>
      <c r="VHA335" s="301" t="s">
        <v>470</v>
      </c>
      <c r="VHB335" s="301" t="s">
        <v>470</v>
      </c>
      <c r="VHC335" s="301" t="s">
        <v>470</v>
      </c>
      <c r="VHD335" s="301" t="s">
        <v>470</v>
      </c>
      <c r="VHE335" s="301" t="s">
        <v>470</v>
      </c>
      <c r="VHF335" s="301" t="s">
        <v>470</v>
      </c>
      <c r="VHG335" s="301" t="s">
        <v>470</v>
      </c>
      <c r="VHH335" s="301" t="s">
        <v>470</v>
      </c>
      <c r="VHI335" s="301" t="s">
        <v>470</v>
      </c>
      <c r="VHJ335" s="301" t="s">
        <v>470</v>
      </c>
      <c r="VHK335" s="301" t="s">
        <v>470</v>
      </c>
      <c r="VHL335" s="301" t="s">
        <v>470</v>
      </c>
      <c r="VHM335" s="301" t="s">
        <v>470</v>
      </c>
      <c r="VHN335" s="301" t="s">
        <v>470</v>
      </c>
      <c r="VHO335" s="301" t="s">
        <v>470</v>
      </c>
      <c r="VHP335" s="301" t="s">
        <v>470</v>
      </c>
      <c r="VHQ335" s="301" t="s">
        <v>470</v>
      </c>
      <c r="VHR335" s="301" t="s">
        <v>470</v>
      </c>
      <c r="VHS335" s="301" t="s">
        <v>470</v>
      </c>
      <c r="VHT335" s="301" t="s">
        <v>470</v>
      </c>
      <c r="VHU335" s="301" t="s">
        <v>470</v>
      </c>
      <c r="VHV335" s="301" t="s">
        <v>470</v>
      </c>
      <c r="VHW335" s="301" t="s">
        <v>470</v>
      </c>
      <c r="VHX335" s="301" t="s">
        <v>470</v>
      </c>
      <c r="VHY335" s="301" t="s">
        <v>470</v>
      </c>
      <c r="VHZ335" s="301" t="s">
        <v>470</v>
      </c>
      <c r="VIA335" s="301" t="s">
        <v>470</v>
      </c>
      <c r="VIB335" s="301" t="s">
        <v>470</v>
      </c>
      <c r="VIC335" s="301" t="s">
        <v>470</v>
      </c>
      <c r="VID335" s="301" t="s">
        <v>470</v>
      </c>
      <c r="VIE335" s="301" t="s">
        <v>470</v>
      </c>
      <c r="VIF335" s="301" t="s">
        <v>470</v>
      </c>
      <c r="VIG335" s="301" t="s">
        <v>470</v>
      </c>
      <c r="VIH335" s="301" t="s">
        <v>470</v>
      </c>
      <c r="VII335" s="301" t="s">
        <v>470</v>
      </c>
      <c r="VIJ335" s="301" t="s">
        <v>470</v>
      </c>
      <c r="VIK335" s="301" t="s">
        <v>470</v>
      </c>
      <c r="VIL335" s="301" t="s">
        <v>470</v>
      </c>
      <c r="VIM335" s="301" t="s">
        <v>470</v>
      </c>
      <c r="VIN335" s="301" t="s">
        <v>470</v>
      </c>
      <c r="VIO335" s="301" t="s">
        <v>470</v>
      </c>
      <c r="VIP335" s="301" t="s">
        <v>470</v>
      </c>
      <c r="VIQ335" s="301" t="s">
        <v>470</v>
      </c>
      <c r="VIR335" s="301" t="s">
        <v>470</v>
      </c>
      <c r="VIS335" s="301" t="s">
        <v>470</v>
      </c>
      <c r="VIT335" s="301" t="s">
        <v>470</v>
      </c>
      <c r="VIU335" s="301" t="s">
        <v>470</v>
      </c>
      <c r="VIV335" s="301" t="s">
        <v>470</v>
      </c>
      <c r="VIW335" s="301" t="s">
        <v>470</v>
      </c>
      <c r="VIX335" s="301" t="s">
        <v>470</v>
      </c>
      <c r="VIY335" s="301" t="s">
        <v>470</v>
      </c>
      <c r="VIZ335" s="301" t="s">
        <v>470</v>
      </c>
      <c r="VJA335" s="301" t="s">
        <v>470</v>
      </c>
      <c r="VJB335" s="301" t="s">
        <v>470</v>
      </c>
      <c r="VJC335" s="301" t="s">
        <v>470</v>
      </c>
      <c r="VJD335" s="301" t="s">
        <v>470</v>
      </c>
      <c r="VJE335" s="301" t="s">
        <v>470</v>
      </c>
      <c r="VJF335" s="301" t="s">
        <v>470</v>
      </c>
      <c r="VJG335" s="301" t="s">
        <v>470</v>
      </c>
      <c r="VJH335" s="301" t="s">
        <v>470</v>
      </c>
      <c r="VJI335" s="301" t="s">
        <v>470</v>
      </c>
      <c r="VJJ335" s="301" t="s">
        <v>470</v>
      </c>
      <c r="VJK335" s="301" t="s">
        <v>470</v>
      </c>
      <c r="VJL335" s="301" t="s">
        <v>470</v>
      </c>
      <c r="VJM335" s="301" t="s">
        <v>470</v>
      </c>
      <c r="VJN335" s="301" t="s">
        <v>470</v>
      </c>
      <c r="VJO335" s="301" t="s">
        <v>470</v>
      </c>
      <c r="VJP335" s="301" t="s">
        <v>470</v>
      </c>
      <c r="VJQ335" s="301" t="s">
        <v>470</v>
      </c>
      <c r="VJR335" s="301" t="s">
        <v>470</v>
      </c>
      <c r="VJS335" s="301" t="s">
        <v>470</v>
      </c>
      <c r="VJT335" s="301" t="s">
        <v>470</v>
      </c>
      <c r="VJU335" s="301" t="s">
        <v>470</v>
      </c>
      <c r="VJV335" s="301" t="s">
        <v>470</v>
      </c>
      <c r="VJW335" s="301" t="s">
        <v>470</v>
      </c>
      <c r="VJX335" s="301" t="s">
        <v>470</v>
      </c>
      <c r="VJY335" s="301" t="s">
        <v>470</v>
      </c>
      <c r="VJZ335" s="301" t="s">
        <v>470</v>
      </c>
      <c r="VKA335" s="301" t="s">
        <v>470</v>
      </c>
      <c r="VKB335" s="301" t="s">
        <v>470</v>
      </c>
      <c r="VKC335" s="301" t="s">
        <v>470</v>
      </c>
      <c r="VKD335" s="301" t="s">
        <v>470</v>
      </c>
      <c r="VKE335" s="301" t="s">
        <v>470</v>
      </c>
      <c r="VKF335" s="301" t="s">
        <v>470</v>
      </c>
      <c r="VKG335" s="301" t="s">
        <v>470</v>
      </c>
      <c r="VKH335" s="301" t="s">
        <v>470</v>
      </c>
      <c r="VKI335" s="301" t="s">
        <v>470</v>
      </c>
      <c r="VKJ335" s="301" t="s">
        <v>470</v>
      </c>
      <c r="VKK335" s="301" t="s">
        <v>470</v>
      </c>
      <c r="VKL335" s="301" t="s">
        <v>470</v>
      </c>
      <c r="VKM335" s="301" t="s">
        <v>470</v>
      </c>
      <c r="VKN335" s="301" t="s">
        <v>470</v>
      </c>
      <c r="VKO335" s="301" t="s">
        <v>470</v>
      </c>
      <c r="VKP335" s="301" t="s">
        <v>470</v>
      </c>
      <c r="VKQ335" s="301" t="s">
        <v>470</v>
      </c>
      <c r="VKR335" s="301" t="s">
        <v>470</v>
      </c>
      <c r="VKS335" s="301" t="s">
        <v>470</v>
      </c>
      <c r="VKT335" s="301" t="s">
        <v>470</v>
      </c>
      <c r="VKU335" s="301" t="s">
        <v>470</v>
      </c>
      <c r="VKV335" s="301" t="s">
        <v>470</v>
      </c>
      <c r="VKW335" s="301" t="s">
        <v>470</v>
      </c>
      <c r="VKX335" s="301" t="s">
        <v>470</v>
      </c>
      <c r="VKY335" s="301" t="s">
        <v>470</v>
      </c>
      <c r="VKZ335" s="301" t="s">
        <v>470</v>
      </c>
      <c r="VLA335" s="301" t="s">
        <v>470</v>
      </c>
      <c r="VLB335" s="301" t="s">
        <v>470</v>
      </c>
      <c r="VLC335" s="301" t="s">
        <v>470</v>
      </c>
      <c r="VLD335" s="301" t="s">
        <v>470</v>
      </c>
      <c r="VLE335" s="301" t="s">
        <v>470</v>
      </c>
      <c r="VLF335" s="301" t="s">
        <v>470</v>
      </c>
      <c r="VLG335" s="301" t="s">
        <v>470</v>
      </c>
      <c r="VLH335" s="301" t="s">
        <v>470</v>
      </c>
      <c r="VLI335" s="301" t="s">
        <v>470</v>
      </c>
      <c r="VLJ335" s="301" t="s">
        <v>470</v>
      </c>
      <c r="VLK335" s="301" t="s">
        <v>470</v>
      </c>
      <c r="VLL335" s="301" t="s">
        <v>470</v>
      </c>
      <c r="VLM335" s="301" t="s">
        <v>470</v>
      </c>
      <c r="VLN335" s="301" t="s">
        <v>470</v>
      </c>
      <c r="VLO335" s="301" t="s">
        <v>470</v>
      </c>
      <c r="VLP335" s="301" t="s">
        <v>470</v>
      </c>
      <c r="VLQ335" s="301" t="s">
        <v>470</v>
      </c>
      <c r="VLR335" s="301" t="s">
        <v>470</v>
      </c>
      <c r="VLS335" s="301" t="s">
        <v>470</v>
      </c>
      <c r="VLT335" s="301" t="s">
        <v>470</v>
      </c>
      <c r="VLU335" s="301" t="s">
        <v>470</v>
      </c>
      <c r="VLV335" s="301" t="s">
        <v>470</v>
      </c>
      <c r="VLW335" s="301" t="s">
        <v>470</v>
      </c>
      <c r="VLX335" s="301" t="s">
        <v>470</v>
      </c>
      <c r="VLY335" s="301" t="s">
        <v>470</v>
      </c>
      <c r="VLZ335" s="301" t="s">
        <v>470</v>
      </c>
      <c r="VMA335" s="301" t="s">
        <v>470</v>
      </c>
      <c r="VMB335" s="301" t="s">
        <v>470</v>
      </c>
      <c r="VMC335" s="301" t="s">
        <v>470</v>
      </c>
      <c r="VMD335" s="301" t="s">
        <v>470</v>
      </c>
      <c r="VME335" s="301" t="s">
        <v>470</v>
      </c>
      <c r="VMF335" s="301" t="s">
        <v>470</v>
      </c>
      <c r="VMG335" s="301" t="s">
        <v>470</v>
      </c>
      <c r="VMH335" s="301" t="s">
        <v>470</v>
      </c>
      <c r="VMI335" s="301" t="s">
        <v>470</v>
      </c>
      <c r="VMJ335" s="301" t="s">
        <v>470</v>
      </c>
      <c r="VMK335" s="301" t="s">
        <v>470</v>
      </c>
      <c r="VML335" s="301" t="s">
        <v>470</v>
      </c>
      <c r="VMM335" s="301" t="s">
        <v>470</v>
      </c>
      <c r="VMN335" s="301" t="s">
        <v>470</v>
      </c>
      <c r="VMO335" s="301" t="s">
        <v>470</v>
      </c>
      <c r="VMP335" s="301" t="s">
        <v>470</v>
      </c>
      <c r="VMQ335" s="301" t="s">
        <v>470</v>
      </c>
      <c r="VMR335" s="301" t="s">
        <v>470</v>
      </c>
      <c r="VMS335" s="301" t="s">
        <v>470</v>
      </c>
      <c r="VMT335" s="301" t="s">
        <v>470</v>
      </c>
      <c r="VMU335" s="301" t="s">
        <v>470</v>
      </c>
      <c r="VMV335" s="301" t="s">
        <v>470</v>
      </c>
      <c r="VMW335" s="301" t="s">
        <v>470</v>
      </c>
      <c r="VMX335" s="301" t="s">
        <v>470</v>
      </c>
      <c r="VMY335" s="301" t="s">
        <v>470</v>
      </c>
      <c r="VMZ335" s="301" t="s">
        <v>470</v>
      </c>
      <c r="VNA335" s="301" t="s">
        <v>470</v>
      </c>
      <c r="VNB335" s="301" t="s">
        <v>470</v>
      </c>
      <c r="VNC335" s="301" t="s">
        <v>470</v>
      </c>
      <c r="VND335" s="301" t="s">
        <v>470</v>
      </c>
      <c r="VNE335" s="301" t="s">
        <v>470</v>
      </c>
      <c r="VNF335" s="301" t="s">
        <v>470</v>
      </c>
      <c r="VNG335" s="301" t="s">
        <v>470</v>
      </c>
      <c r="VNH335" s="301" t="s">
        <v>470</v>
      </c>
      <c r="VNI335" s="301" t="s">
        <v>470</v>
      </c>
      <c r="VNJ335" s="301" t="s">
        <v>470</v>
      </c>
      <c r="VNK335" s="301" t="s">
        <v>470</v>
      </c>
      <c r="VNL335" s="301" t="s">
        <v>470</v>
      </c>
      <c r="VNM335" s="301" t="s">
        <v>470</v>
      </c>
      <c r="VNN335" s="301" t="s">
        <v>470</v>
      </c>
      <c r="VNO335" s="301" t="s">
        <v>470</v>
      </c>
      <c r="VNP335" s="301" t="s">
        <v>470</v>
      </c>
      <c r="VNQ335" s="301" t="s">
        <v>470</v>
      </c>
      <c r="VNR335" s="301" t="s">
        <v>470</v>
      </c>
      <c r="VNS335" s="301" t="s">
        <v>470</v>
      </c>
      <c r="VNT335" s="301" t="s">
        <v>470</v>
      </c>
      <c r="VNU335" s="301" t="s">
        <v>470</v>
      </c>
      <c r="VNV335" s="301" t="s">
        <v>470</v>
      </c>
      <c r="VNW335" s="301" t="s">
        <v>470</v>
      </c>
      <c r="VNX335" s="301" t="s">
        <v>470</v>
      </c>
      <c r="VNY335" s="301" t="s">
        <v>470</v>
      </c>
      <c r="VNZ335" s="301" t="s">
        <v>470</v>
      </c>
      <c r="VOA335" s="301" t="s">
        <v>470</v>
      </c>
      <c r="VOB335" s="301" t="s">
        <v>470</v>
      </c>
      <c r="VOC335" s="301" t="s">
        <v>470</v>
      </c>
      <c r="VOD335" s="301" t="s">
        <v>470</v>
      </c>
      <c r="VOE335" s="301" t="s">
        <v>470</v>
      </c>
      <c r="VOF335" s="301" t="s">
        <v>470</v>
      </c>
      <c r="VOG335" s="301" t="s">
        <v>470</v>
      </c>
      <c r="VOH335" s="301" t="s">
        <v>470</v>
      </c>
      <c r="VOI335" s="301" t="s">
        <v>470</v>
      </c>
      <c r="VOJ335" s="301" t="s">
        <v>470</v>
      </c>
      <c r="VOK335" s="301" t="s">
        <v>470</v>
      </c>
      <c r="VOL335" s="301" t="s">
        <v>470</v>
      </c>
      <c r="VOM335" s="301" t="s">
        <v>470</v>
      </c>
      <c r="VON335" s="301" t="s">
        <v>470</v>
      </c>
      <c r="VOO335" s="301" t="s">
        <v>470</v>
      </c>
      <c r="VOP335" s="301" t="s">
        <v>470</v>
      </c>
      <c r="VOQ335" s="301" t="s">
        <v>470</v>
      </c>
      <c r="VOR335" s="301" t="s">
        <v>470</v>
      </c>
      <c r="VOS335" s="301" t="s">
        <v>470</v>
      </c>
      <c r="VOT335" s="301" t="s">
        <v>470</v>
      </c>
      <c r="VOU335" s="301" t="s">
        <v>470</v>
      </c>
      <c r="VOV335" s="301" t="s">
        <v>470</v>
      </c>
      <c r="VOW335" s="301" t="s">
        <v>470</v>
      </c>
      <c r="VOX335" s="301" t="s">
        <v>470</v>
      </c>
      <c r="VOY335" s="301" t="s">
        <v>470</v>
      </c>
      <c r="VOZ335" s="301" t="s">
        <v>470</v>
      </c>
      <c r="VPA335" s="301" t="s">
        <v>470</v>
      </c>
      <c r="VPB335" s="301" t="s">
        <v>470</v>
      </c>
      <c r="VPC335" s="301" t="s">
        <v>470</v>
      </c>
      <c r="VPD335" s="301" t="s">
        <v>470</v>
      </c>
      <c r="VPE335" s="301" t="s">
        <v>470</v>
      </c>
      <c r="VPF335" s="301" t="s">
        <v>470</v>
      </c>
      <c r="VPG335" s="301" t="s">
        <v>470</v>
      </c>
      <c r="VPH335" s="301" t="s">
        <v>470</v>
      </c>
      <c r="VPI335" s="301" t="s">
        <v>470</v>
      </c>
      <c r="VPJ335" s="301" t="s">
        <v>470</v>
      </c>
      <c r="VPK335" s="301" t="s">
        <v>470</v>
      </c>
      <c r="VPL335" s="301" t="s">
        <v>470</v>
      </c>
      <c r="VPM335" s="301" t="s">
        <v>470</v>
      </c>
      <c r="VPN335" s="301" t="s">
        <v>470</v>
      </c>
      <c r="VPO335" s="301" t="s">
        <v>470</v>
      </c>
      <c r="VPP335" s="301" t="s">
        <v>470</v>
      </c>
      <c r="VPQ335" s="301" t="s">
        <v>470</v>
      </c>
      <c r="VPR335" s="301" t="s">
        <v>470</v>
      </c>
      <c r="VPS335" s="301" t="s">
        <v>470</v>
      </c>
      <c r="VPT335" s="301" t="s">
        <v>470</v>
      </c>
      <c r="VPU335" s="301" t="s">
        <v>470</v>
      </c>
      <c r="VPV335" s="301" t="s">
        <v>470</v>
      </c>
      <c r="VPW335" s="301" t="s">
        <v>470</v>
      </c>
      <c r="VPX335" s="301" t="s">
        <v>470</v>
      </c>
      <c r="VPY335" s="301" t="s">
        <v>470</v>
      </c>
      <c r="VPZ335" s="301" t="s">
        <v>470</v>
      </c>
      <c r="VQA335" s="301" t="s">
        <v>470</v>
      </c>
      <c r="VQB335" s="301" t="s">
        <v>470</v>
      </c>
      <c r="VQC335" s="301" t="s">
        <v>470</v>
      </c>
      <c r="VQD335" s="301" t="s">
        <v>470</v>
      </c>
      <c r="VQE335" s="301" t="s">
        <v>470</v>
      </c>
      <c r="VQF335" s="301" t="s">
        <v>470</v>
      </c>
      <c r="VQG335" s="301" t="s">
        <v>470</v>
      </c>
      <c r="VQH335" s="301" t="s">
        <v>470</v>
      </c>
      <c r="VQI335" s="301" t="s">
        <v>470</v>
      </c>
      <c r="VQJ335" s="301" t="s">
        <v>470</v>
      </c>
      <c r="VQK335" s="301" t="s">
        <v>470</v>
      </c>
      <c r="VQL335" s="301" t="s">
        <v>470</v>
      </c>
      <c r="VQM335" s="301" t="s">
        <v>470</v>
      </c>
      <c r="VQN335" s="301" t="s">
        <v>470</v>
      </c>
      <c r="VQO335" s="301" t="s">
        <v>470</v>
      </c>
      <c r="VQP335" s="301" t="s">
        <v>470</v>
      </c>
      <c r="VQQ335" s="301" t="s">
        <v>470</v>
      </c>
      <c r="VQR335" s="301" t="s">
        <v>470</v>
      </c>
      <c r="VQS335" s="301" t="s">
        <v>470</v>
      </c>
      <c r="VQT335" s="301" t="s">
        <v>470</v>
      </c>
      <c r="VQU335" s="301" t="s">
        <v>470</v>
      </c>
      <c r="VQV335" s="301" t="s">
        <v>470</v>
      </c>
      <c r="VQW335" s="301" t="s">
        <v>470</v>
      </c>
      <c r="VQX335" s="301" t="s">
        <v>470</v>
      </c>
      <c r="VQY335" s="301" t="s">
        <v>470</v>
      </c>
      <c r="VQZ335" s="301" t="s">
        <v>470</v>
      </c>
      <c r="VRA335" s="301" t="s">
        <v>470</v>
      </c>
      <c r="VRB335" s="301" t="s">
        <v>470</v>
      </c>
      <c r="VRC335" s="301" t="s">
        <v>470</v>
      </c>
      <c r="VRD335" s="301" t="s">
        <v>470</v>
      </c>
      <c r="VRE335" s="301" t="s">
        <v>470</v>
      </c>
      <c r="VRF335" s="301" t="s">
        <v>470</v>
      </c>
      <c r="VRG335" s="301" t="s">
        <v>470</v>
      </c>
      <c r="VRH335" s="301" t="s">
        <v>470</v>
      </c>
      <c r="VRI335" s="301" t="s">
        <v>470</v>
      </c>
      <c r="VRJ335" s="301" t="s">
        <v>470</v>
      </c>
      <c r="VRK335" s="301" t="s">
        <v>470</v>
      </c>
      <c r="VRL335" s="301" t="s">
        <v>470</v>
      </c>
      <c r="VRM335" s="301" t="s">
        <v>470</v>
      </c>
      <c r="VRN335" s="301" t="s">
        <v>470</v>
      </c>
      <c r="VRO335" s="301" t="s">
        <v>470</v>
      </c>
      <c r="VRP335" s="301" t="s">
        <v>470</v>
      </c>
      <c r="VRQ335" s="301" t="s">
        <v>470</v>
      </c>
      <c r="VRR335" s="301" t="s">
        <v>470</v>
      </c>
      <c r="VRS335" s="301" t="s">
        <v>470</v>
      </c>
      <c r="VRT335" s="301" t="s">
        <v>470</v>
      </c>
      <c r="VRU335" s="301" t="s">
        <v>470</v>
      </c>
      <c r="VRV335" s="301" t="s">
        <v>470</v>
      </c>
      <c r="VRW335" s="301" t="s">
        <v>470</v>
      </c>
      <c r="VRX335" s="301" t="s">
        <v>470</v>
      </c>
      <c r="VRY335" s="301" t="s">
        <v>470</v>
      </c>
      <c r="VRZ335" s="301" t="s">
        <v>470</v>
      </c>
      <c r="VSA335" s="301" t="s">
        <v>470</v>
      </c>
      <c r="VSB335" s="301" t="s">
        <v>470</v>
      </c>
      <c r="VSC335" s="301" t="s">
        <v>470</v>
      </c>
      <c r="VSD335" s="301" t="s">
        <v>470</v>
      </c>
      <c r="VSE335" s="301" t="s">
        <v>470</v>
      </c>
      <c r="VSF335" s="301" t="s">
        <v>470</v>
      </c>
      <c r="VSG335" s="301" t="s">
        <v>470</v>
      </c>
      <c r="VSH335" s="301" t="s">
        <v>470</v>
      </c>
      <c r="VSI335" s="301" t="s">
        <v>470</v>
      </c>
      <c r="VSJ335" s="301" t="s">
        <v>470</v>
      </c>
      <c r="VSK335" s="301" t="s">
        <v>470</v>
      </c>
      <c r="VSL335" s="301" t="s">
        <v>470</v>
      </c>
      <c r="VSM335" s="301" t="s">
        <v>470</v>
      </c>
      <c r="VSN335" s="301" t="s">
        <v>470</v>
      </c>
      <c r="VSO335" s="301" t="s">
        <v>470</v>
      </c>
      <c r="VSP335" s="301" t="s">
        <v>470</v>
      </c>
      <c r="VSQ335" s="301" t="s">
        <v>470</v>
      </c>
      <c r="VSR335" s="301" t="s">
        <v>470</v>
      </c>
      <c r="VSS335" s="301" t="s">
        <v>470</v>
      </c>
      <c r="VST335" s="301" t="s">
        <v>470</v>
      </c>
      <c r="VSU335" s="301" t="s">
        <v>470</v>
      </c>
      <c r="VSV335" s="301" t="s">
        <v>470</v>
      </c>
      <c r="VSW335" s="301" t="s">
        <v>470</v>
      </c>
      <c r="VSX335" s="301" t="s">
        <v>470</v>
      </c>
      <c r="VSY335" s="301" t="s">
        <v>470</v>
      </c>
      <c r="VSZ335" s="301" t="s">
        <v>470</v>
      </c>
      <c r="VTA335" s="301" t="s">
        <v>470</v>
      </c>
      <c r="VTB335" s="301" t="s">
        <v>470</v>
      </c>
      <c r="VTC335" s="301" t="s">
        <v>470</v>
      </c>
      <c r="VTD335" s="301" t="s">
        <v>470</v>
      </c>
      <c r="VTE335" s="301" t="s">
        <v>470</v>
      </c>
      <c r="VTF335" s="301" t="s">
        <v>470</v>
      </c>
      <c r="VTG335" s="301" t="s">
        <v>470</v>
      </c>
      <c r="VTH335" s="301" t="s">
        <v>470</v>
      </c>
      <c r="VTI335" s="301" t="s">
        <v>470</v>
      </c>
      <c r="VTJ335" s="301" t="s">
        <v>470</v>
      </c>
      <c r="VTK335" s="301" t="s">
        <v>470</v>
      </c>
      <c r="VTL335" s="301" t="s">
        <v>470</v>
      </c>
      <c r="VTM335" s="301" t="s">
        <v>470</v>
      </c>
      <c r="VTN335" s="301" t="s">
        <v>470</v>
      </c>
      <c r="VTO335" s="301" t="s">
        <v>470</v>
      </c>
      <c r="VTP335" s="301" t="s">
        <v>470</v>
      </c>
      <c r="VTQ335" s="301" t="s">
        <v>470</v>
      </c>
      <c r="VTR335" s="301" t="s">
        <v>470</v>
      </c>
      <c r="VTS335" s="301" t="s">
        <v>470</v>
      </c>
      <c r="VTT335" s="301" t="s">
        <v>470</v>
      </c>
      <c r="VTU335" s="301" t="s">
        <v>470</v>
      </c>
      <c r="VTV335" s="301" t="s">
        <v>470</v>
      </c>
      <c r="VTW335" s="301" t="s">
        <v>470</v>
      </c>
      <c r="VTX335" s="301" t="s">
        <v>470</v>
      </c>
      <c r="VTY335" s="301" t="s">
        <v>470</v>
      </c>
      <c r="VTZ335" s="301" t="s">
        <v>470</v>
      </c>
      <c r="VUA335" s="301" t="s">
        <v>470</v>
      </c>
      <c r="VUB335" s="301" t="s">
        <v>470</v>
      </c>
      <c r="VUC335" s="301" t="s">
        <v>470</v>
      </c>
      <c r="VUD335" s="301" t="s">
        <v>470</v>
      </c>
      <c r="VUE335" s="301" t="s">
        <v>470</v>
      </c>
      <c r="VUF335" s="301" t="s">
        <v>470</v>
      </c>
      <c r="VUG335" s="301" t="s">
        <v>470</v>
      </c>
      <c r="VUH335" s="301" t="s">
        <v>470</v>
      </c>
      <c r="VUI335" s="301" t="s">
        <v>470</v>
      </c>
      <c r="VUJ335" s="301" t="s">
        <v>470</v>
      </c>
      <c r="VUK335" s="301" t="s">
        <v>470</v>
      </c>
      <c r="VUL335" s="301" t="s">
        <v>470</v>
      </c>
      <c r="VUM335" s="301" t="s">
        <v>470</v>
      </c>
      <c r="VUN335" s="301" t="s">
        <v>470</v>
      </c>
      <c r="VUO335" s="301" t="s">
        <v>470</v>
      </c>
      <c r="VUP335" s="301" t="s">
        <v>470</v>
      </c>
      <c r="VUQ335" s="301" t="s">
        <v>470</v>
      </c>
      <c r="VUR335" s="301" t="s">
        <v>470</v>
      </c>
      <c r="VUS335" s="301" t="s">
        <v>470</v>
      </c>
      <c r="VUT335" s="301" t="s">
        <v>470</v>
      </c>
      <c r="VUU335" s="301" t="s">
        <v>470</v>
      </c>
      <c r="VUV335" s="301" t="s">
        <v>470</v>
      </c>
      <c r="VUW335" s="301" t="s">
        <v>470</v>
      </c>
      <c r="VUX335" s="301" t="s">
        <v>470</v>
      </c>
      <c r="VUY335" s="301" t="s">
        <v>470</v>
      </c>
      <c r="VUZ335" s="301" t="s">
        <v>470</v>
      </c>
      <c r="VVA335" s="301" t="s">
        <v>470</v>
      </c>
      <c r="VVB335" s="301" t="s">
        <v>470</v>
      </c>
      <c r="VVC335" s="301" t="s">
        <v>470</v>
      </c>
      <c r="VVD335" s="301" t="s">
        <v>470</v>
      </c>
      <c r="VVE335" s="301" t="s">
        <v>470</v>
      </c>
      <c r="VVF335" s="301" t="s">
        <v>470</v>
      </c>
      <c r="VVG335" s="301" t="s">
        <v>470</v>
      </c>
      <c r="VVH335" s="301" t="s">
        <v>470</v>
      </c>
      <c r="VVI335" s="301" t="s">
        <v>470</v>
      </c>
      <c r="VVJ335" s="301" t="s">
        <v>470</v>
      </c>
      <c r="VVK335" s="301" t="s">
        <v>470</v>
      </c>
      <c r="VVL335" s="301" t="s">
        <v>470</v>
      </c>
      <c r="VVM335" s="301" t="s">
        <v>470</v>
      </c>
      <c r="VVN335" s="301" t="s">
        <v>470</v>
      </c>
      <c r="VVO335" s="301" t="s">
        <v>470</v>
      </c>
      <c r="VVP335" s="301" t="s">
        <v>470</v>
      </c>
      <c r="VVQ335" s="301" t="s">
        <v>470</v>
      </c>
      <c r="VVR335" s="301" t="s">
        <v>470</v>
      </c>
      <c r="VVS335" s="301" t="s">
        <v>470</v>
      </c>
      <c r="VVT335" s="301" t="s">
        <v>470</v>
      </c>
      <c r="VVU335" s="301" t="s">
        <v>470</v>
      </c>
      <c r="VVV335" s="301" t="s">
        <v>470</v>
      </c>
      <c r="VVW335" s="301" t="s">
        <v>470</v>
      </c>
      <c r="VVX335" s="301" t="s">
        <v>470</v>
      </c>
      <c r="VVY335" s="301" t="s">
        <v>470</v>
      </c>
      <c r="VVZ335" s="301" t="s">
        <v>470</v>
      </c>
      <c r="VWA335" s="301" t="s">
        <v>470</v>
      </c>
      <c r="VWB335" s="301" t="s">
        <v>470</v>
      </c>
      <c r="VWC335" s="301" t="s">
        <v>470</v>
      </c>
      <c r="VWD335" s="301" t="s">
        <v>470</v>
      </c>
      <c r="VWE335" s="301" t="s">
        <v>470</v>
      </c>
      <c r="VWF335" s="301" t="s">
        <v>470</v>
      </c>
      <c r="VWG335" s="301" t="s">
        <v>470</v>
      </c>
      <c r="VWH335" s="301" t="s">
        <v>470</v>
      </c>
      <c r="VWI335" s="301" t="s">
        <v>470</v>
      </c>
      <c r="VWJ335" s="301" t="s">
        <v>470</v>
      </c>
      <c r="VWK335" s="301" t="s">
        <v>470</v>
      </c>
      <c r="VWL335" s="301" t="s">
        <v>470</v>
      </c>
      <c r="VWM335" s="301" t="s">
        <v>470</v>
      </c>
      <c r="VWN335" s="301" t="s">
        <v>470</v>
      </c>
      <c r="VWO335" s="301" t="s">
        <v>470</v>
      </c>
      <c r="VWP335" s="301" t="s">
        <v>470</v>
      </c>
      <c r="VWQ335" s="301" t="s">
        <v>470</v>
      </c>
      <c r="VWR335" s="301" t="s">
        <v>470</v>
      </c>
      <c r="VWS335" s="301" t="s">
        <v>470</v>
      </c>
      <c r="VWT335" s="301" t="s">
        <v>470</v>
      </c>
      <c r="VWU335" s="301" t="s">
        <v>470</v>
      </c>
      <c r="VWV335" s="301" t="s">
        <v>470</v>
      </c>
      <c r="VWW335" s="301" t="s">
        <v>470</v>
      </c>
      <c r="VWX335" s="301" t="s">
        <v>470</v>
      </c>
      <c r="VWY335" s="301" t="s">
        <v>470</v>
      </c>
      <c r="VWZ335" s="301" t="s">
        <v>470</v>
      </c>
      <c r="VXA335" s="301" t="s">
        <v>470</v>
      </c>
      <c r="VXB335" s="301" t="s">
        <v>470</v>
      </c>
      <c r="VXC335" s="301" t="s">
        <v>470</v>
      </c>
      <c r="VXD335" s="301" t="s">
        <v>470</v>
      </c>
      <c r="VXE335" s="301" t="s">
        <v>470</v>
      </c>
      <c r="VXF335" s="301" t="s">
        <v>470</v>
      </c>
      <c r="VXG335" s="301" t="s">
        <v>470</v>
      </c>
      <c r="VXH335" s="301" t="s">
        <v>470</v>
      </c>
      <c r="VXI335" s="301" t="s">
        <v>470</v>
      </c>
      <c r="VXJ335" s="301" t="s">
        <v>470</v>
      </c>
      <c r="VXK335" s="301" t="s">
        <v>470</v>
      </c>
      <c r="VXL335" s="301" t="s">
        <v>470</v>
      </c>
      <c r="VXM335" s="301" t="s">
        <v>470</v>
      </c>
      <c r="VXN335" s="301" t="s">
        <v>470</v>
      </c>
      <c r="VXO335" s="301" t="s">
        <v>470</v>
      </c>
      <c r="VXP335" s="301" t="s">
        <v>470</v>
      </c>
      <c r="VXQ335" s="301" t="s">
        <v>470</v>
      </c>
      <c r="VXR335" s="301" t="s">
        <v>470</v>
      </c>
      <c r="VXS335" s="301" t="s">
        <v>470</v>
      </c>
      <c r="VXT335" s="301" t="s">
        <v>470</v>
      </c>
      <c r="VXU335" s="301" t="s">
        <v>470</v>
      </c>
      <c r="VXV335" s="301" t="s">
        <v>470</v>
      </c>
      <c r="VXW335" s="301" t="s">
        <v>470</v>
      </c>
      <c r="VXX335" s="301" t="s">
        <v>470</v>
      </c>
      <c r="VXY335" s="301" t="s">
        <v>470</v>
      </c>
      <c r="VXZ335" s="301" t="s">
        <v>470</v>
      </c>
      <c r="VYA335" s="301" t="s">
        <v>470</v>
      </c>
      <c r="VYB335" s="301" t="s">
        <v>470</v>
      </c>
      <c r="VYC335" s="301" t="s">
        <v>470</v>
      </c>
      <c r="VYD335" s="301" t="s">
        <v>470</v>
      </c>
      <c r="VYE335" s="301" t="s">
        <v>470</v>
      </c>
      <c r="VYF335" s="301" t="s">
        <v>470</v>
      </c>
      <c r="VYG335" s="301" t="s">
        <v>470</v>
      </c>
      <c r="VYH335" s="301" t="s">
        <v>470</v>
      </c>
      <c r="VYI335" s="301" t="s">
        <v>470</v>
      </c>
      <c r="VYJ335" s="301" t="s">
        <v>470</v>
      </c>
      <c r="VYK335" s="301" t="s">
        <v>470</v>
      </c>
      <c r="VYL335" s="301" t="s">
        <v>470</v>
      </c>
      <c r="VYM335" s="301" t="s">
        <v>470</v>
      </c>
      <c r="VYN335" s="301" t="s">
        <v>470</v>
      </c>
      <c r="VYO335" s="301" t="s">
        <v>470</v>
      </c>
      <c r="VYP335" s="301" t="s">
        <v>470</v>
      </c>
      <c r="VYQ335" s="301" t="s">
        <v>470</v>
      </c>
      <c r="VYR335" s="301" t="s">
        <v>470</v>
      </c>
      <c r="VYS335" s="301" t="s">
        <v>470</v>
      </c>
      <c r="VYT335" s="301" t="s">
        <v>470</v>
      </c>
      <c r="VYU335" s="301" t="s">
        <v>470</v>
      </c>
      <c r="VYV335" s="301" t="s">
        <v>470</v>
      </c>
      <c r="VYW335" s="301" t="s">
        <v>470</v>
      </c>
      <c r="VYX335" s="301" t="s">
        <v>470</v>
      </c>
      <c r="VYY335" s="301" t="s">
        <v>470</v>
      </c>
      <c r="VYZ335" s="301" t="s">
        <v>470</v>
      </c>
      <c r="VZA335" s="301" t="s">
        <v>470</v>
      </c>
      <c r="VZB335" s="301" t="s">
        <v>470</v>
      </c>
      <c r="VZC335" s="301" t="s">
        <v>470</v>
      </c>
      <c r="VZD335" s="301" t="s">
        <v>470</v>
      </c>
      <c r="VZE335" s="301" t="s">
        <v>470</v>
      </c>
      <c r="VZF335" s="301" t="s">
        <v>470</v>
      </c>
      <c r="VZG335" s="301" t="s">
        <v>470</v>
      </c>
      <c r="VZH335" s="301" t="s">
        <v>470</v>
      </c>
      <c r="VZI335" s="301" t="s">
        <v>470</v>
      </c>
      <c r="VZJ335" s="301" t="s">
        <v>470</v>
      </c>
      <c r="VZK335" s="301" t="s">
        <v>470</v>
      </c>
      <c r="VZL335" s="301" t="s">
        <v>470</v>
      </c>
      <c r="VZM335" s="301" t="s">
        <v>470</v>
      </c>
      <c r="VZN335" s="301" t="s">
        <v>470</v>
      </c>
      <c r="VZO335" s="301" t="s">
        <v>470</v>
      </c>
      <c r="VZP335" s="301" t="s">
        <v>470</v>
      </c>
      <c r="VZQ335" s="301" t="s">
        <v>470</v>
      </c>
      <c r="VZR335" s="301" t="s">
        <v>470</v>
      </c>
      <c r="VZS335" s="301" t="s">
        <v>470</v>
      </c>
      <c r="VZT335" s="301" t="s">
        <v>470</v>
      </c>
      <c r="VZU335" s="301" t="s">
        <v>470</v>
      </c>
      <c r="VZV335" s="301" t="s">
        <v>470</v>
      </c>
      <c r="VZW335" s="301" t="s">
        <v>470</v>
      </c>
      <c r="VZX335" s="301" t="s">
        <v>470</v>
      </c>
      <c r="VZY335" s="301" t="s">
        <v>470</v>
      </c>
      <c r="VZZ335" s="301" t="s">
        <v>470</v>
      </c>
      <c r="WAA335" s="301" t="s">
        <v>470</v>
      </c>
      <c r="WAB335" s="301" t="s">
        <v>470</v>
      </c>
      <c r="WAC335" s="301" t="s">
        <v>470</v>
      </c>
      <c r="WAD335" s="301" t="s">
        <v>470</v>
      </c>
      <c r="WAE335" s="301" t="s">
        <v>470</v>
      </c>
      <c r="WAF335" s="301" t="s">
        <v>470</v>
      </c>
      <c r="WAG335" s="301" t="s">
        <v>470</v>
      </c>
      <c r="WAH335" s="301" t="s">
        <v>470</v>
      </c>
      <c r="WAI335" s="301" t="s">
        <v>470</v>
      </c>
      <c r="WAJ335" s="301" t="s">
        <v>470</v>
      </c>
      <c r="WAK335" s="301" t="s">
        <v>470</v>
      </c>
      <c r="WAL335" s="301" t="s">
        <v>470</v>
      </c>
      <c r="WAM335" s="301" t="s">
        <v>470</v>
      </c>
      <c r="WAN335" s="301" t="s">
        <v>470</v>
      </c>
      <c r="WAO335" s="301" t="s">
        <v>470</v>
      </c>
      <c r="WAP335" s="301" t="s">
        <v>470</v>
      </c>
      <c r="WAQ335" s="301" t="s">
        <v>470</v>
      </c>
      <c r="WAR335" s="301" t="s">
        <v>470</v>
      </c>
      <c r="WAS335" s="301" t="s">
        <v>470</v>
      </c>
      <c r="WAT335" s="301" t="s">
        <v>470</v>
      </c>
      <c r="WAU335" s="301" t="s">
        <v>470</v>
      </c>
      <c r="WAV335" s="301" t="s">
        <v>470</v>
      </c>
      <c r="WAW335" s="301" t="s">
        <v>470</v>
      </c>
      <c r="WAX335" s="301" t="s">
        <v>470</v>
      </c>
      <c r="WAY335" s="301" t="s">
        <v>470</v>
      </c>
      <c r="WAZ335" s="301" t="s">
        <v>470</v>
      </c>
      <c r="WBA335" s="301" t="s">
        <v>470</v>
      </c>
      <c r="WBB335" s="301" t="s">
        <v>470</v>
      </c>
      <c r="WBC335" s="301" t="s">
        <v>470</v>
      </c>
      <c r="WBD335" s="301" t="s">
        <v>470</v>
      </c>
      <c r="WBE335" s="301" t="s">
        <v>470</v>
      </c>
      <c r="WBF335" s="301" t="s">
        <v>470</v>
      </c>
      <c r="WBG335" s="301" t="s">
        <v>470</v>
      </c>
      <c r="WBH335" s="301" t="s">
        <v>470</v>
      </c>
      <c r="WBI335" s="301" t="s">
        <v>470</v>
      </c>
      <c r="WBJ335" s="301" t="s">
        <v>470</v>
      </c>
      <c r="WBK335" s="301" t="s">
        <v>470</v>
      </c>
      <c r="WBL335" s="301" t="s">
        <v>470</v>
      </c>
      <c r="WBM335" s="301" t="s">
        <v>470</v>
      </c>
      <c r="WBN335" s="301" t="s">
        <v>470</v>
      </c>
      <c r="WBO335" s="301" t="s">
        <v>470</v>
      </c>
      <c r="WBP335" s="301" t="s">
        <v>470</v>
      </c>
      <c r="WBQ335" s="301" t="s">
        <v>470</v>
      </c>
      <c r="WBR335" s="301" t="s">
        <v>470</v>
      </c>
      <c r="WBS335" s="301" t="s">
        <v>470</v>
      </c>
      <c r="WBT335" s="301" t="s">
        <v>470</v>
      </c>
      <c r="WBU335" s="301" t="s">
        <v>470</v>
      </c>
      <c r="WBV335" s="301" t="s">
        <v>470</v>
      </c>
      <c r="WBW335" s="301" t="s">
        <v>470</v>
      </c>
      <c r="WBX335" s="301" t="s">
        <v>470</v>
      </c>
      <c r="WBY335" s="301" t="s">
        <v>470</v>
      </c>
      <c r="WBZ335" s="301" t="s">
        <v>470</v>
      </c>
      <c r="WCA335" s="301" t="s">
        <v>470</v>
      </c>
      <c r="WCB335" s="301" t="s">
        <v>470</v>
      </c>
      <c r="WCC335" s="301" t="s">
        <v>470</v>
      </c>
      <c r="WCD335" s="301" t="s">
        <v>470</v>
      </c>
      <c r="WCE335" s="301" t="s">
        <v>470</v>
      </c>
      <c r="WCF335" s="301" t="s">
        <v>470</v>
      </c>
      <c r="WCG335" s="301" t="s">
        <v>470</v>
      </c>
      <c r="WCH335" s="301" t="s">
        <v>470</v>
      </c>
      <c r="WCI335" s="301" t="s">
        <v>470</v>
      </c>
      <c r="WCJ335" s="301" t="s">
        <v>470</v>
      </c>
      <c r="WCK335" s="301" t="s">
        <v>470</v>
      </c>
      <c r="WCL335" s="301" t="s">
        <v>470</v>
      </c>
      <c r="WCM335" s="301" t="s">
        <v>470</v>
      </c>
      <c r="WCN335" s="301" t="s">
        <v>470</v>
      </c>
      <c r="WCO335" s="301" t="s">
        <v>470</v>
      </c>
      <c r="WCP335" s="301" t="s">
        <v>470</v>
      </c>
      <c r="WCQ335" s="301" t="s">
        <v>470</v>
      </c>
      <c r="WCR335" s="301" t="s">
        <v>470</v>
      </c>
      <c r="WCS335" s="301" t="s">
        <v>470</v>
      </c>
      <c r="WCT335" s="301" t="s">
        <v>470</v>
      </c>
      <c r="WCU335" s="301" t="s">
        <v>470</v>
      </c>
      <c r="WCV335" s="301" t="s">
        <v>470</v>
      </c>
      <c r="WCW335" s="301" t="s">
        <v>470</v>
      </c>
      <c r="WCX335" s="301" t="s">
        <v>470</v>
      </c>
      <c r="WCY335" s="301" t="s">
        <v>470</v>
      </c>
      <c r="WCZ335" s="301" t="s">
        <v>470</v>
      </c>
      <c r="WDA335" s="301" t="s">
        <v>470</v>
      </c>
      <c r="WDB335" s="301" t="s">
        <v>470</v>
      </c>
      <c r="WDC335" s="301" t="s">
        <v>470</v>
      </c>
      <c r="WDD335" s="301" t="s">
        <v>470</v>
      </c>
      <c r="WDE335" s="301" t="s">
        <v>470</v>
      </c>
      <c r="WDF335" s="301" t="s">
        <v>470</v>
      </c>
      <c r="WDG335" s="301" t="s">
        <v>470</v>
      </c>
      <c r="WDH335" s="301" t="s">
        <v>470</v>
      </c>
      <c r="WDI335" s="301" t="s">
        <v>470</v>
      </c>
      <c r="WDJ335" s="301" t="s">
        <v>470</v>
      </c>
      <c r="WDK335" s="301" t="s">
        <v>470</v>
      </c>
      <c r="WDL335" s="301" t="s">
        <v>470</v>
      </c>
      <c r="WDM335" s="301" t="s">
        <v>470</v>
      </c>
      <c r="WDN335" s="301" t="s">
        <v>470</v>
      </c>
      <c r="WDO335" s="301" t="s">
        <v>470</v>
      </c>
      <c r="WDP335" s="301" t="s">
        <v>470</v>
      </c>
      <c r="WDQ335" s="301" t="s">
        <v>470</v>
      </c>
      <c r="WDR335" s="301" t="s">
        <v>470</v>
      </c>
      <c r="WDS335" s="301" t="s">
        <v>470</v>
      </c>
      <c r="WDT335" s="301" t="s">
        <v>470</v>
      </c>
      <c r="WDU335" s="301" t="s">
        <v>470</v>
      </c>
      <c r="WDV335" s="301" t="s">
        <v>470</v>
      </c>
      <c r="WDW335" s="301" t="s">
        <v>470</v>
      </c>
      <c r="WDX335" s="301" t="s">
        <v>470</v>
      </c>
      <c r="WDY335" s="301" t="s">
        <v>470</v>
      </c>
      <c r="WDZ335" s="301" t="s">
        <v>470</v>
      </c>
      <c r="WEA335" s="301" t="s">
        <v>470</v>
      </c>
      <c r="WEB335" s="301" t="s">
        <v>470</v>
      </c>
      <c r="WEC335" s="301" t="s">
        <v>470</v>
      </c>
      <c r="WED335" s="301" t="s">
        <v>470</v>
      </c>
      <c r="WEE335" s="301" t="s">
        <v>470</v>
      </c>
      <c r="WEF335" s="301" t="s">
        <v>470</v>
      </c>
      <c r="WEG335" s="301" t="s">
        <v>470</v>
      </c>
      <c r="WEH335" s="301" t="s">
        <v>470</v>
      </c>
      <c r="WEI335" s="301" t="s">
        <v>470</v>
      </c>
      <c r="WEJ335" s="301" t="s">
        <v>470</v>
      </c>
      <c r="WEK335" s="301" t="s">
        <v>470</v>
      </c>
      <c r="WEL335" s="301" t="s">
        <v>470</v>
      </c>
      <c r="WEM335" s="301" t="s">
        <v>470</v>
      </c>
      <c r="WEN335" s="301" t="s">
        <v>470</v>
      </c>
      <c r="WEO335" s="301" t="s">
        <v>470</v>
      </c>
      <c r="WEP335" s="301" t="s">
        <v>470</v>
      </c>
      <c r="WEQ335" s="301" t="s">
        <v>470</v>
      </c>
      <c r="WER335" s="301" t="s">
        <v>470</v>
      </c>
      <c r="WES335" s="301" t="s">
        <v>470</v>
      </c>
      <c r="WET335" s="301" t="s">
        <v>470</v>
      </c>
      <c r="WEU335" s="301" t="s">
        <v>470</v>
      </c>
      <c r="WEV335" s="301" t="s">
        <v>470</v>
      </c>
      <c r="WEW335" s="301" t="s">
        <v>470</v>
      </c>
      <c r="WEX335" s="301" t="s">
        <v>470</v>
      </c>
      <c r="WEY335" s="301" t="s">
        <v>470</v>
      </c>
      <c r="WEZ335" s="301" t="s">
        <v>470</v>
      </c>
      <c r="WFA335" s="301" t="s">
        <v>470</v>
      </c>
      <c r="WFB335" s="301" t="s">
        <v>470</v>
      </c>
      <c r="WFC335" s="301" t="s">
        <v>470</v>
      </c>
      <c r="WFD335" s="301" t="s">
        <v>470</v>
      </c>
      <c r="WFE335" s="301" t="s">
        <v>470</v>
      </c>
      <c r="WFF335" s="301" t="s">
        <v>470</v>
      </c>
      <c r="WFG335" s="301" t="s">
        <v>470</v>
      </c>
      <c r="WFH335" s="301" t="s">
        <v>470</v>
      </c>
      <c r="WFI335" s="301" t="s">
        <v>470</v>
      </c>
      <c r="WFJ335" s="301" t="s">
        <v>470</v>
      </c>
      <c r="WFK335" s="301" t="s">
        <v>470</v>
      </c>
      <c r="WFL335" s="301" t="s">
        <v>470</v>
      </c>
      <c r="WFM335" s="301" t="s">
        <v>470</v>
      </c>
      <c r="WFN335" s="301" t="s">
        <v>470</v>
      </c>
      <c r="WFO335" s="301" t="s">
        <v>470</v>
      </c>
      <c r="WFP335" s="301" t="s">
        <v>470</v>
      </c>
      <c r="WFQ335" s="301" t="s">
        <v>470</v>
      </c>
      <c r="WFR335" s="301" t="s">
        <v>470</v>
      </c>
      <c r="WFS335" s="301" t="s">
        <v>470</v>
      </c>
      <c r="WFT335" s="301" t="s">
        <v>470</v>
      </c>
      <c r="WFU335" s="301" t="s">
        <v>470</v>
      </c>
      <c r="WFV335" s="301" t="s">
        <v>470</v>
      </c>
      <c r="WFW335" s="301" t="s">
        <v>470</v>
      </c>
      <c r="WFX335" s="301" t="s">
        <v>470</v>
      </c>
      <c r="WFY335" s="301" t="s">
        <v>470</v>
      </c>
      <c r="WFZ335" s="301" t="s">
        <v>470</v>
      </c>
      <c r="WGA335" s="301" t="s">
        <v>470</v>
      </c>
      <c r="WGB335" s="301" t="s">
        <v>470</v>
      </c>
      <c r="WGC335" s="301" t="s">
        <v>470</v>
      </c>
      <c r="WGD335" s="301" t="s">
        <v>470</v>
      </c>
      <c r="WGE335" s="301" t="s">
        <v>470</v>
      </c>
      <c r="WGF335" s="301" t="s">
        <v>470</v>
      </c>
      <c r="WGG335" s="301" t="s">
        <v>470</v>
      </c>
      <c r="WGH335" s="301" t="s">
        <v>470</v>
      </c>
      <c r="WGI335" s="301" t="s">
        <v>470</v>
      </c>
      <c r="WGJ335" s="301" t="s">
        <v>470</v>
      </c>
      <c r="WGK335" s="301" t="s">
        <v>470</v>
      </c>
      <c r="WGL335" s="301" t="s">
        <v>470</v>
      </c>
      <c r="WGM335" s="301" t="s">
        <v>470</v>
      </c>
      <c r="WGN335" s="301" t="s">
        <v>470</v>
      </c>
      <c r="WGO335" s="301" t="s">
        <v>470</v>
      </c>
      <c r="WGP335" s="301" t="s">
        <v>470</v>
      </c>
      <c r="WGQ335" s="301" t="s">
        <v>470</v>
      </c>
      <c r="WGR335" s="301" t="s">
        <v>470</v>
      </c>
      <c r="WGS335" s="301" t="s">
        <v>470</v>
      </c>
      <c r="WGT335" s="301" t="s">
        <v>470</v>
      </c>
      <c r="WGU335" s="301" t="s">
        <v>470</v>
      </c>
      <c r="WGV335" s="301" t="s">
        <v>470</v>
      </c>
      <c r="WGW335" s="301" t="s">
        <v>470</v>
      </c>
      <c r="WGX335" s="301" t="s">
        <v>470</v>
      </c>
      <c r="WGY335" s="301" t="s">
        <v>470</v>
      </c>
      <c r="WGZ335" s="301" t="s">
        <v>470</v>
      </c>
      <c r="WHA335" s="301" t="s">
        <v>470</v>
      </c>
      <c r="WHB335" s="301" t="s">
        <v>470</v>
      </c>
      <c r="WHC335" s="301" t="s">
        <v>470</v>
      </c>
      <c r="WHD335" s="301" t="s">
        <v>470</v>
      </c>
      <c r="WHE335" s="301" t="s">
        <v>470</v>
      </c>
      <c r="WHF335" s="301" t="s">
        <v>470</v>
      </c>
      <c r="WHG335" s="301" t="s">
        <v>470</v>
      </c>
      <c r="WHH335" s="301" t="s">
        <v>470</v>
      </c>
      <c r="WHI335" s="301" t="s">
        <v>470</v>
      </c>
      <c r="WHJ335" s="301" t="s">
        <v>470</v>
      </c>
      <c r="WHK335" s="301" t="s">
        <v>470</v>
      </c>
      <c r="WHL335" s="301" t="s">
        <v>470</v>
      </c>
      <c r="WHM335" s="301" t="s">
        <v>470</v>
      </c>
      <c r="WHN335" s="301" t="s">
        <v>470</v>
      </c>
      <c r="WHO335" s="301" t="s">
        <v>470</v>
      </c>
      <c r="WHP335" s="301" t="s">
        <v>470</v>
      </c>
      <c r="WHQ335" s="301" t="s">
        <v>470</v>
      </c>
      <c r="WHR335" s="301" t="s">
        <v>470</v>
      </c>
      <c r="WHS335" s="301" t="s">
        <v>470</v>
      </c>
      <c r="WHT335" s="301" t="s">
        <v>470</v>
      </c>
      <c r="WHU335" s="301" t="s">
        <v>470</v>
      </c>
      <c r="WHV335" s="301" t="s">
        <v>470</v>
      </c>
      <c r="WHW335" s="301" t="s">
        <v>470</v>
      </c>
      <c r="WHX335" s="301" t="s">
        <v>470</v>
      </c>
      <c r="WHY335" s="301" t="s">
        <v>470</v>
      </c>
      <c r="WHZ335" s="301" t="s">
        <v>470</v>
      </c>
      <c r="WIA335" s="301" t="s">
        <v>470</v>
      </c>
      <c r="WIB335" s="301" t="s">
        <v>470</v>
      </c>
      <c r="WIC335" s="301" t="s">
        <v>470</v>
      </c>
      <c r="WID335" s="301" t="s">
        <v>470</v>
      </c>
      <c r="WIE335" s="301" t="s">
        <v>470</v>
      </c>
      <c r="WIF335" s="301" t="s">
        <v>470</v>
      </c>
      <c r="WIG335" s="301" t="s">
        <v>470</v>
      </c>
      <c r="WIH335" s="301" t="s">
        <v>470</v>
      </c>
      <c r="WII335" s="301" t="s">
        <v>470</v>
      </c>
      <c r="WIJ335" s="301" t="s">
        <v>470</v>
      </c>
      <c r="WIK335" s="301" t="s">
        <v>470</v>
      </c>
      <c r="WIL335" s="301" t="s">
        <v>470</v>
      </c>
      <c r="WIM335" s="301" t="s">
        <v>470</v>
      </c>
      <c r="WIN335" s="301" t="s">
        <v>470</v>
      </c>
      <c r="WIO335" s="301" t="s">
        <v>470</v>
      </c>
      <c r="WIP335" s="301" t="s">
        <v>470</v>
      </c>
      <c r="WIQ335" s="301" t="s">
        <v>470</v>
      </c>
      <c r="WIR335" s="301" t="s">
        <v>470</v>
      </c>
      <c r="WIS335" s="301" t="s">
        <v>470</v>
      </c>
      <c r="WIT335" s="301" t="s">
        <v>470</v>
      </c>
      <c r="WIU335" s="301" t="s">
        <v>470</v>
      </c>
      <c r="WIV335" s="301" t="s">
        <v>470</v>
      </c>
      <c r="WIW335" s="301" t="s">
        <v>470</v>
      </c>
      <c r="WIX335" s="301" t="s">
        <v>470</v>
      </c>
      <c r="WIY335" s="301" t="s">
        <v>470</v>
      </c>
      <c r="WIZ335" s="301" t="s">
        <v>470</v>
      </c>
      <c r="WJA335" s="301" t="s">
        <v>470</v>
      </c>
      <c r="WJB335" s="301" t="s">
        <v>470</v>
      </c>
      <c r="WJC335" s="301" t="s">
        <v>470</v>
      </c>
      <c r="WJD335" s="301" t="s">
        <v>470</v>
      </c>
      <c r="WJE335" s="301" t="s">
        <v>470</v>
      </c>
      <c r="WJF335" s="301" t="s">
        <v>470</v>
      </c>
      <c r="WJG335" s="301" t="s">
        <v>470</v>
      </c>
      <c r="WJH335" s="301" t="s">
        <v>470</v>
      </c>
      <c r="WJI335" s="301" t="s">
        <v>470</v>
      </c>
      <c r="WJJ335" s="301" t="s">
        <v>470</v>
      </c>
      <c r="WJK335" s="301" t="s">
        <v>470</v>
      </c>
      <c r="WJL335" s="301" t="s">
        <v>470</v>
      </c>
      <c r="WJM335" s="301" t="s">
        <v>470</v>
      </c>
      <c r="WJN335" s="301" t="s">
        <v>470</v>
      </c>
      <c r="WJO335" s="301" t="s">
        <v>470</v>
      </c>
      <c r="WJP335" s="301" t="s">
        <v>470</v>
      </c>
      <c r="WJQ335" s="301" t="s">
        <v>470</v>
      </c>
      <c r="WJR335" s="301" t="s">
        <v>470</v>
      </c>
      <c r="WJS335" s="301" t="s">
        <v>470</v>
      </c>
      <c r="WJT335" s="301" t="s">
        <v>470</v>
      </c>
      <c r="WJU335" s="301" t="s">
        <v>470</v>
      </c>
      <c r="WJV335" s="301" t="s">
        <v>470</v>
      </c>
      <c r="WJW335" s="301" t="s">
        <v>470</v>
      </c>
      <c r="WJX335" s="301" t="s">
        <v>470</v>
      </c>
      <c r="WJY335" s="301" t="s">
        <v>470</v>
      </c>
      <c r="WJZ335" s="301" t="s">
        <v>470</v>
      </c>
      <c r="WKA335" s="301" t="s">
        <v>470</v>
      </c>
      <c r="WKB335" s="301" t="s">
        <v>470</v>
      </c>
      <c r="WKC335" s="301" t="s">
        <v>470</v>
      </c>
      <c r="WKD335" s="301" t="s">
        <v>470</v>
      </c>
      <c r="WKE335" s="301" t="s">
        <v>470</v>
      </c>
      <c r="WKF335" s="301" t="s">
        <v>470</v>
      </c>
      <c r="WKG335" s="301" t="s">
        <v>470</v>
      </c>
      <c r="WKH335" s="301" t="s">
        <v>470</v>
      </c>
      <c r="WKI335" s="301" t="s">
        <v>470</v>
      </c>
      <c r="WKJ335" s="301" t="s">
        <v>470</v>
      </c>
      <c r="WKK335" s="301" t="s">
        <v>470</v>
      </c>
      <c r="WKL335" s="301" t="s">
        <v>470</v>
      </c>
      <c r="WKM335" s="301" t="s">
        <v>470</v>
      </c>
      <c r="WKN335" s="301" t="s">
        <v>470</v>
      </c>
      <c r="WKO335" s="301" t="s">
        <v>470</v>
      </c>
      <c r="WKP335" s="301" t="s">
        <v>470</v>
      </c>
      <c r="WKQ335" s="301" t="s">
        <v>470</v>
      </c>
      <c r="WKR335" s="301" t="s">
        <v>470</v>
      </c>
      <c r="WKS335" s="301" t="s">
        <v>470</v>
      </c>
      <c r="WKT335" s="301" t="s">
        <v>470</v>
      </c>
      <c r="WKU335" s="301" t="s">
        <v>470</v>
      </c>
      <c r="WKV335" s="301" t="s">
        <v>470</v>
      </c>
      <c r="WKW335" s="301" t="s">
        <v>470</v>
      </c>
      <c r="WKX335" s="301" t="s">
        <v>470</v>
      </c>
      <c r="WKY335" s="301" t="s">
        <v>470</v>
      </c>
      <c r="WKZ335" s="301" t="s">
        <v>470</v>
      </c>
      <c r="WLA335" s="301" t="s">
        <v>470</v>
      </c>
      <c r="WLB335" s="301" t="s">
        <v>470</v>
      </c>
      <c r="WLC335" s="301" t="s">
        <v>470</v>
      </c>
      <c r="WLD335" s="301" t="s">
        <v>470</v>
      </c>
      <c r="WLE335" s="301" t="s">
        <v>470</v>
      </c>
      <c r="WLF335" s="301" t="s">
        <v>470</v>
      </c>
      <c r="WLG335" s="301" t="s">
        <v>470</v>
      </c>
      <c r="WLH335" s="301" t="s">
        <v>470</v>
      </c>
      <c r="WLI335" s="301" t="s">
        <v>470</v>
      </c>
      <c r="WLJ335" s="301" t="s">
        <v>470</v>
      </c>
      <c r="WLK335" s="301" t="s">
        <v>470</v>
      </c>
      <c r="WLL335" s="301" t="s">
        <v>470</v>
      </c>
      <c r="WLM335" s="301" t="s">
        <v>470</v>
      </c>
      <c r="WLN335" s="301" t="s">
        <v>470</v>
      </c>
      <c r="WLO335" s="301" t="s">
        <v>470</v>
      </c>
      <c r="WLP335" s="301" t="s">
        <v>470</v>
      </c>
      <c r="WLQ335" s="301" t="s">
        <v>470</v>
      </c>
      <c r="WLR335" s="301" t="s">
        <v>470</v>
      </c>
      <c r="WLS335" s="301" t="s">
        <v>470</v>
      </c>
      <c r="WLT335" s="301" t="s">
        <v>470</v>
      </c>
      <c r="WLU335" s="301" t="s">
        <v>470</v>
      </c>
      <c r="WLV335" s="301" t="s">
        <v>470</v>
      </c>
      <c r="WLW335" s="301" t="s">
        <v>470</v>
      </c>
      <c r="WLX335" s="301" t="s">
        <v>470</v>
      </c>
      <c r="WLY335" s="301" t="s">
        <v>470</v>
      </c>
      <c r="WLZ335" s="301" t="s">
        <v>470</v>
      </c>
      <c r="WMA335" s="301" t="s">
        <v>470</v>
      </c>
      <c r="WMB335" s="301" t="s">
        <v>470</v>
      </c>
      <c r="WMC335" s="301" t="s">
        <v>470</v>
      </c>
      <c r="WMD335" s="301" t="s">
        <v>470</v>
      </c>
      <c r="WME335" s="301" t="s">
        <v>470</v>
      </c>
      <c r="WMF335" s="301" t="s">
        <v>470</v>
      </c>
      <c r="WMG335" s="301" t="s">
        <v>470</v>
      </c>
      <c r="WMH335" s="301" t="s">
        <v>470</v>
      </c>
      <c r="WMI335" s="301" t="s">
        <v>470</v>
      </c>
      <c r="WMJ335" s="301" t="s">
        <v>470</v>
      </c>
      <c r="WMK335" s="301" t="s">
        <v>470</v>
      </c>
      <c r="WML335" s="301" t="s">
        <v>470</v>
      </c>
      <c r="WMM335" s="301" t="s">
        <v>470</v>
      </c>
      <c r="WMN335" s="301" t="s">
        <v>470</v>
      </c>
      <c r="WMO335" s="301" t="s">
        <v>470</v>
      </c>
      <c r="WMP335" s="301" t="s">
        <v>470</v>
      </c>
      <c r="WMQ335" s="301" t="s">
        <v>470</v>
      </c>
      <c r="WMR335" s="301" t="s">
        <v>470</v>
      </c>
      <c r="WMS335" s="301" t="s">
        <v>470</v>
      </c>
      <c r="WMT335" s="301" t="s">
        <v>470</v>
      </c>
      <c r="WMU335" s="301" t="s">
        <v>470</v>
      </c>
      <c r="WMV335" s="301" t="s">
        <v>470</v>
      </c>
      <c r="WMW335" s="301" t="s">
        <v>470</v>
      </c>
      <c r="WMX335" s="301" t="s">
        <v>470</v>
      </c>
      <c r="WMY335" s="301" t="s">
        <v>470</v>
      </c>
      <c r="WMZ335" s="301" t="s">
        <v>470</v>
      </c>
      <c r="WNA335" s="301" t="s">
        <v>470</v>
      </c>
      <c r="WNB335" s="301" t="s">
        <v>470</v>
      </c>
      <c r="WNC335" s="301" t="s">
        <v>470</v>
      </c>
      <c r="WND335" s="301" t="s">
        <v>470</v>
      </c>
      <c r="WNE335" s="301" t="s">
        <v>470</v>
      </c>
      <c r="WNF335" s="301" t="s">
        <v>470</v>
      </c>
      <c r="WNG335" s="301" t="s">
        <v>470</v>
      </c>
      <c r="WNH335" s="301" t="s">
        <v>470</v>
      </c>
      <c r="WNI335" s="301" t="s">
        <v>470</v>
      </c>
      <c r="WNJ335" s="301" t="s">
        <v>470</v>
      </c>
      <c r="WNK335" s="301" t="s">
        <v>470</v>
      </c>
      <c r="WNL335" s="301" t="s">
        <v>470</v>
      </c>
      <c r="WNM335" s="301" t="s">
        <v>470</v>
      </c>
      <c r="WNN335" s="301" t="s">
        <v>470</v>
      </c>
      <c r="WNO335" s="301" t="s">
        <v>470</v>
      </c>
      <c r="WNP335" s="301" t="s">
        <v>470</v>
      </c>
      <c r="WNQ335" s="301" t="s">
        <v>470</v>
      </c>
      <c r="WNR335" s="301" t="s">
        <v>470</v>
      </c>
      <c r="WNS335" s="301" t="s">
        <v>470</v>
      </c>
      <c r="WNT335" s="301" t="s">
        <v>470</v>
      </c>
      <c r="WNU335" s="301" t="s">
        <v>470</v>
      </c>
      <c r="WNV335" s="301" t="s">
        <v>470</v>
      </c>
      <c r="WNW335" s="301" t="s">
        <v>470</v>
      </c>
      <c r="WNX335" s="301" t="s">
        <v>470</v>
      </c>
      <c r="WNY335" s="301" t="s">
        <v>470</v>
      </c>
      <c r="WNZ335" s="301" t="s">
        <v>470</v>
      </c>
      <c r="WOA335" s="301" t="s">
        <v>470</v>
      </c>
      <c r="WOB335" s="301" t="s">
        <v>470</v>
      </c>
      <c r="WOC335" s="301" t="s">
        <v>470</v>
      </c>
      <c r="WOD335" s="301" t="s">
        <v>470</v>
      </c>
      <c r="WOE335" s="301" t="s">
        <v>470</v>
      </c>
      <c r="WOF335" s="301" t="s">
        <v>470</v>
      </c>
      <c r="WOG335" s="301" t="s">
        <v>470</v>
      </c>
      <c r="WOH335" s="301" t="s">
        <v>470</v>
      </c>
      <c r="WOI335" s="301" t="s">
        <v>470</v>
      </c>
      <c r="WOJ335" s="301" t="s">
        <v>470</v>
      </c>
      <c r="WOK335" s="301" t="s">
        <v>470</v>
      </c>
      <c r="WOL335" s="301" t="s">
        <v>470</v>
      </c>
      <c r="WOM335" s="301" t="s">
        <v>470</v>
      </c>
      <c r="WON335" s="301" t="s">
        <v>470</v>
      </c>
      <c r="WOO335" s="301" t="s">
        <v>470</v>
      </c>
      <c r="WOP335" s="301" t="s">
        <v>470</v>
      </c>
      <c r="WOQ335" s="301" t="s">
        <v>470</v>
      </c>
      <c r="WOR335" s="301" t="s">
        <v>470</v>
      </c>
      <c r="WOS335" s="301" t="s">
        <v>470</v>
      </c>
      <c r="WOT335" s="301" t="s">
        <v>470</v>
      </c>
      <c r="WOU335" s="301" t="s">
        <v>470</v>
      </c>
      <c r="WOV335" s="301" t="s">
        <v>470</v>
      </c>
      <c r="WOW335" s="301" t="s">
        <v>470</v>
      </c>
      <c r="WOX335" s="301" t="s">
        <v>470</v>
      </c>
      <c r="WOY335" s="301" t="s">
        <v>470</v>
      </c>
      <c r="WOZ335" s="301" t="s">
        <v>470</v>
      </c>
      <c r="WPA335" s="301" t="s">
        <v>470</v>
      </c>
      <c r="WPB335" s="301" t="s">
        <v>470</v>
      </c>
      <c r="WPC335" s="301" t="s">
        <v>470</v>
      </c>
      <c r="WPD335" s="301" t="s">
        <v>470</v>
      </c>
      <c r="WPE335" s="301" t="s">
        <v>470</v>
      </c>
      <c r="WPF335" s="301" t="s">
        <v>470</v>
      </c>
      <c r="WPG335" s="301" t="s">
        <v>470</v>
      </c>
      <c r="WPH335" s="301" t="s">
        <v>470</v>
      </c>
      <c r="WPI335" s="301" t="s">
        <v>470</v>
      </c>
      <c r="WPJ335" s="301" t="s">
        <v>470</v>
      </c>
      <c r="WPK335" s="301" t="s">
        <v>470</v>
      </c>
      <c r="WPL335" s="301" t="s">
        <v>470</v>
      </c>
      <c r="WPM335" s="301" t="s">
        <v>470</v>
      </c>
      <c r="WPN335" s="301" t="s">
        <v>470</v>
      </c>
      <c r="WPO335" s="301" t="s">
        <v>470</v>
      </c>
      <c r="WPP335" s="301" t="s">
        <v>470</v>
      </c>
      <c r="WPQ335" s="301" t="s">
        <v>470</v>
      </c>
      <c r="WPR335" s="301" t="s">
        <v>470</v>
      </c>
      <c r="WPS335" s="301" t="s">
        <v>470</v>
      </c>
      <c r="WPT335" s="301" t="s">
        <v>470</v>
      </c>
      <c r="WPU335" s="301" t="s">
        <v>470</v>
      </c>
      <c r="WPV335" s="301" t="s">
        <v>470</v>
      </c>
      <c r="WPW335" s="301" t="s">
        <v>470</v>
      </c>
      <c r="WPX335" s="301" t="s">
        <v>470</v>
      </c>
      <c r="WPY335" s="301" t="s">
        <v>470</v>
      </c>
      <c r="WPZ335" s="301" t="s">
        <v>470</v>
      </c>
      <c r="WQA335" s="301" t="s">
        <v>470</v>
      </c>
      <c r="WQB335" s="301" t="s">
        <v>470</v>
      </c>
      <c r="WQC335" s="301" t="s">
        <v>470</v>
      </c>
      <c r="WQD335" s="301" t="s">
        <v>470</v>
      </c>
      <c r="WQE335" s="301" t="s">
        <v>470</v>
      </c>
      <c r="WQF335" s="301" t="s">
        <v>470</v>
      </c>
      <c r="WQG335" s="301" t="s">
        <v>470</v>
      </c>
      <c r="WQH335" s="301" t="s">
        <v>470</v>
      </c>
      <c r="WQI335" s="301" t="s">
        <v>470</v>
      </c>
      <c r="WQJ335" s="301" t="s">
        <v>470</v>
      </c>
      <c r="WQK335" s="301" t="s">
        <v>470</v>
      </c>
      <c r="WQL335" s="301" t="s">
        <v>470</v>
      </c>
      <c r="WQM335" s="301" t="s">
        <v>470</v>
      </c>
      <c r="WQN335" s="301" t="s">
        <v>470</v>
      </c>
      <c r="WQO335" s="301" t="s">
        <v>470</v>
      </c>
      <c r="WQP335" s="301" t="s">
        <v>470</v>
      </c>
      <c r="WQQ335" s="301" t="s">
        <v>470</v>
      </c>
      <c r="WQR335" s="301" t="s">
        <v>470</v>
      </c>
      <c r="WQS335" s="301" t="s">
        <v>470</v>
      </c>
      <c r="WQT335" s="301" t="s">
        <v>470</v>
      </c>
      <c r="WQU335" s="301" t="s">
        <v>470</v>
      </c>
      <c r="WQV335" s="301" t="s">
        <v>470</v>
      </c>
      <c r="WQW335" s="301" t="s">
        <v>470</v>
      </c>
      <c r="WQX335" s="301" t="s">
        <v>470</v>
      </c>
      <c r="WQY335" s="301" t="s">
        <v>470</v>
      </c>
      <c r="WQZ335" s="301" t="s">
        <v>470</v>
      </c>
      <c r="WRA335" s="301" t="s">
        <v>470</v>
      </c>
      <c r="WRB335" s="301" t="s">
        <v>470</v>
      </c>
      <c r="WRC335" s="301" t="s">
        <v>470</v>
      </c>
      <c r="WRD335" s="301" t="s">
        <v>470</v>
      </c>
      <c r="WRE335" s="301" t="s">
        <v>470</v>
      </c>
      <c r="WRF335" s="301" t="s">
        <v>470</v>
      </c>
      <c r="WRG335" s="301" t="s">
        <v>470</v>
      </c>
      <c r="WRH335" s="301" t="s">
        <v>470</v>
      </c>
      <c r="WRI335" s="301" t="s">
        <v>470</v>
      </c>
      <c r="WRJ335" s="301" t="s">
        <v>470</v>
      </c>
      <c r="WRK335" s="301" t="s">
        <v>470</v>
      </c>
      <c r="WRL335" s="301" t="s">
        <v>470</v>
      </c>
      <c r="WRM335" s="301" t="s">
        <v>470</v>
      </c>
      <c r="WRN335" s="301" t="s">
        <v>470</v>
      </c>
      <c r="WRO335" s="301" t="s">
        <v>470</v>
      </c>
      <c r="WRP335" s="301" t="s">
        <v>470</v>
      </c>
      <c r="WRQ335" s="301" t="s">
        <v>470</v>
      </c>
      <c r="WRR335" s="301" t="s">
        <v>470</v>
      </c>
      <c r="WRS335" s="301" t="s">
        <v>470</v>
      </c>
      <c r="WRT335" s="301" t="s">
        <v>470</v>
      </c>
      <c r="WRU335" s="301" t="s">
        <v>470</v>
      </c>
      <c r="WRV335" s="301" t="s">
        <v>470</v>
      </c>
      <c r="WRW335" s="301" t="s">
        <v>470</v>
      </c>
      <c r="WRX335" s="301" t="s">
        <v>470</v>
      </c>
      <c r="WRY335" s="301" t="s">
        <v>470</v>
      </c>
      <c r="WRZ335" s="301" t="s">
        <v>470</v>
      </c>
      <c r="WSA335" s="301" t="s">
        <v>470</v>
      </c>
      <c r="WSB335" s="301" t="s">
        <v>470</v>
      </c>
      <c r="WSC335" s="301" t="s">
        <v>470</v>
      </c>
      <c r="WSD335" s="301" t="s">
        <v>470</v>
      </c>
      <c r="WSE335" s="301" t="s">
        <v>470</v>
      </c>
      <c r="WSF335" s="301" t="s">
        <v>470</v>
      </c>
      <c r="WSG335" s="301" t="s">
        <v>470</v>
      </c>
      <c r="WSH335" s="301" t="s">
        <v>470</v>
      </c>
      <c r="WSI335" s="301" t="s">
        <v>470</v>
      </c>
      <c r="WSJ335" s="301" t="s">
        <v>470</v>
      </c>
      <c r="WSK335" s="301" t="s">
        <v>470</v>
      </c>
      <c r="WSL335" s="301" t="s">
        <v>470</v>
      </c>
      <c r="WSM335" s="301" t="s">
        <v>470</v>
      </c>
      <c r="WSN335" s="301" t="s">
        <v>470</v>
      </c>
      <c r="WSO335" s="301" t="s">
        <v>470</v>
      </c>
      <c r="WSP335" s="301" t="s">
        <v>470</v>
      </c>
      <c r="WSQ335" s="301" t="s">
        <v>470</v>
      </c>
      <c r="WSR335" s="301" t="s">
        <v>470</v>
      </c>
      <c r="WSS335" s="301" t="s">
        <v>470</v>
      </c>
      <c r="WST335" s="301" t="s">
        <v>470</v>
      </c>
      <c r="WSU335" s="301" t="s">
        <v>470</v>
      </c>
      <c r="WSV335" s="301" t="s">
        <v>470</v>
      </c>
      <c r="WSW335" s="301" t="s">
        <v>470</v>
      </c>
      <c r="WSX335" s="301" t="s">
        <v>470</v>
      </c>
      <c r="WSY335" s="301" t="s">
        <v>470</v>
      </c>
      <c r="WSZ335" s="301" t="s">
        <v>470</v>
      </c>
      <c r="WTA335" s="301" t="s">
        <v>470</v>
      </c>
      <c r="WTB335" s="301" t="s">
        <v>470</v>
      </c>
      <c r="WTC335" s="301" t="s">
        <v>470</v>
      </c>
      <c r="WTD335" s="301" t="s">
        <v>470</v>
      </c>
      <c r="WTE335" s="301" t="s">
        <v>470</v>
      </c>
      <c r="WTF335" s="301" t="s">
        <v>470</v>
      </c>
      <c r="WTG335" s="301" t="s">
        <v>470</v>
      </c>
      <c r="WTH335" s="301" t="s">
        <v>470</v>
      </c>
      <c r="WTI335" s="301" t="s">
        <v>470</v>
      </c>
      <c r="WTJ335" s="301" t="s">
        <v>470</v>
      </c>
      <c r="WTK335" s="301" t="s">
        <v>470</v>
      </c>
      <c r="WTL335" s="301" t="s">
        <v>470</v>
      </c>
      <c r="WTM335" s="301" t="s">
        <v>470</v>
      </c>
      <c r="WTN335" s="301" t="s">
        <v>470</v>
      </c>
      <c r="WTO335" s="301" t="s">
        <v>470</v>
      </c>
      <c r="WTP335" s="301" t="s">
        <v>470</v>
      </c>
      <c r="WTQ335" s="301" t="s">
        <v>470</v>
      </c>
      <c r="WTR335" s="301" t="s">
        <v>470</v>
      </c>
      <c r="WTS335" s="301" t="s">
        <v>470</v>
      </c>
      <c r="WTT335" s="301" t="s">
        <v>470</v>
      </c>
      <c r="WTU335" s="301" t="s">
        <v>470</v>
      </c>
      <c r="WTV335" s="301" t="s">
        <v>470</v>
      </c>
      <c r="WTW335" s="301" t="s">
        <v>470</v>
      </c>
      <c r="WTX335" s="301" t="s">
        <v>470</v>
      </c>
      <c r="WTY335" s="301" t="s">
        <v>470</v>
      </c>
      <c r="WTZ335" s="301" t="s">
        <v>470</v>
      </c>
      <c r="WUA335" s="301" t="s">
        <v>470</v>
      </c>
      <c r="WUB335" s="301" t="s">
        <v>470</v>
      </c>
      <c r="WUC335" s="301" t="s">
        <v>470</v>
      </c>
      <c r="WUD335" s="301" t="s">
        <v>470</v>
      </c>
      <c r="WUE335" s="301" t="s">
        <v>470</v>
      </c>
      <c r="WUF335" s="301" t="s">
        <v>470</v>
      </c>
      <c r="WUG335" s="301" t="s">
        <v>470</v>
      </c>
      <c r="WUH335" s="301" t="s">
        <v>470</v>
      </c>
      <c r="WUI335" s="301" t="s">
        <v>470</v>
      </c>
      <c r="WUJ335" s="301" t="s">
        <v>470</v>
      </c>
      <c r="WUK335" s="301" t="s">
        <v>470</v>
      </c>
      <c r="WUL335" s="301" t="s">
        <v>470</v>
      </c>
      <c r="WUM335" s="301" t="s">
        <v>470</v>
      </c>
      <c r="WUN335" s="301" t="s">
        <v>470</v>
      </c>
      <c r="WUO335" s="301" t="s">
        <v>470</v>
      </c>
      <c r="WUP335" s="301" t="s">
        <v>470</v>
      </c>
      <c r="WUQ335" s="301" t="s">
        <v>470</v>
      </c>
      <c r="WUR335" s="301" t="s">
        <v>470</v>
      </c>
      <c r="WUS335" s="301" t="s">
        <v>470</v>
      </c>
      <c r="WUT335" s="301" t="s">
        <v>470</v>
      </c>
      <c r="WUU335" s="301" t="s">
        <v>470</v>
      </c>
      <c r="WUV335" s="301" t="s">
        <v>470</v>
      </c>
      <c r="WUW335" s="301" t="s">
        <v>470</v>
      </c>
      <c r="WUX335" s="301" t="s">
        <v>470</v>
      </c>
      <c r="WUY335" s="301" t="s">
        <v>470</v>
      </c>
      <c r="WUZ335" s="301" t="s">
        <v>470</v>
      </c>
      <c r="WVA335" s="301" t="s">
        <v>470</v>
      </c>
      <c r="WVB335" s="301" t="s">
        <v>470</v>
      </c>
      <c r="WVC335" s="301" t="s">
        <v>470</v>
      </c>
      <c r="WVD335" s="301" t="s">
        <v>470</v>
      </c>
      <c r="WVE335" s="301" t="s">
        <v>470</v>
      </c>
      <c r="WVF335" s="301" t="s">
        <v>470</v>
      </c>
      <c r="WVG335" s="301" t="s">
        <v>470</v>
      </c>
      <c r="WVH335" s="301" t="s">
        <v>470</v>
      </c>
      <c r="WVI335" s="301" t="s">
        <v>470</v>
      </c>
      <c r="WVJ335" s="301" t="s">
        <v>470</v>
      </c>
      <c r="WVK335" s="301" t="s">
        <v>470</v>
      </c>
      <c r="WVL335" s="301" t="s">
        <v>470</v>
      </c>
      <c r="WVM335" s="301" t="s">
        <v>470</v>
      </c>
      <c r="WVN335" s="301" t="s">
        <v>470</v>
      </c>
      <c r="WVO335" s="301" t="s">
        <v>470</v>
      </c>
      <c r="WVP335" s="301" t="s">
        <v>470</v>
      </c>
      <c r="WVQ335" s="301" t="s">
        <v>470</v>
      </c>
      <c r="WVR335" s="301" t="s">
        <v>470</v>
      </c>
      <c r="WVS335" s="301" t="s">
        <v>470</v>
      </c>
      <c r="WVT335" s="301" t="s">
        <v>470</v>
      </c>
      <c r="WVU335" s="301" t="s">
        <v>470</v>
      </c>
      <c r="WVV335" s="301" t="s">
        <v>470</v>
      </c>
      <c r="WVW335" s="301" t="s">
        <v>470</v>
      </c>
      <c r="WVX335" s="301" t="s">
        <v>470</v>
      </c>
      <c r="WVY335" s="301" t="s">
        <v>470</v>
      </c>
      <c r="WVZ335" s="301" t="s">
        <v>470</v>
      </c>
      <c r="WWA335" s="301" t="s">
        <v>470</v>
      </c>
      <c r="WWB335" s="301" t="s">
        <v>470</v>
      </c>
      <c r="WWC335" s="301" t="s">
        <v>470</v>
      </c>
      <c r="WWD335" s="301" t="s">
        <v>470</v>
      </c>
      <c r="WWE335" s="301" t="s">
        <v>470</v>
      </c>
      <c r="WWF335" s="301" t="s">
        <v>470</v>
      </c>
      <c r="WWG335" s="301" t="s">
        <v>470</v>
      </c>
      <c r="WWH335" s="301" t="s">
        <v>470</v>
      </c>
      <c r="WWI335" s="301" t="s">
        <v>470</v>
      </c>
      <c r="WWJ335" s="301" t="s">
        <v>470</v>
      </c>
      <c r="WWK335" s="301" t="s">
        <v>470</v>
      </c>
      <c r="WWL335" s="301" t="s">
        <v>470</v>
      </c>
      <c r="WWM335" s="301" t="s">
        <v>470</v>
      </c>
      <c r="WWN335" s="301" t="s">
        <v>470</v>
      </c>
      <c r="WWO335" s="301" t="s">
        <v>470</v>
      </c>
      <c r="WWP335" s="301" t="s">
        <v>470</v>
      </c>
      <c r="WWQ335" s="301" t="s">
        <v>470</v>
      </c>
      <c r="WWR335" s="301" t="s">
        <v>470</v>
      </c>
      <c r="WWS335" s="301" t="s">
        <v>470</v>
      </c>
      <c r="WWT335" s="301" t="s">
        <v>470</v>
      </c>
      <c r="WWU335" s="301" t="s">
        <v>470</v>
      </c>
      <c r="WWV335" s="301" t="s">
        <v>470</v>
      </c>
      <c r="WWW335" s="301" t="s">
        <v>470</v>
      </c>
      <c r="WWX335" s="301" t="s">
        <v>470</v>
      </c>
      <c r="WWY335" s="301" t="s">
        <v>470</v>
      </c>
      <c r="WWZ335" s="301" t="s">
        <v>470</v>
      </c>
      <c r="WXA335" s="301" t="s">
        <v>470</v>
      </c>
      <c r="WXB335" s="301" t="s">
        <v>470</v>
      </c>
      <c r="WXC335" s="301" t="s">
        <v>470</v>
      </c>
      <c r="WXD335" s="301" t="s">
        <v>470</v>
      </c>
      <c r="WXE335" s="301" t="s">
        <v>470</v>
      </c>
      <c r="WXF335" s="301" t="s">
        <v>470</v>
      </c>
      <c r="WXG335" s="301" t="s">
        <v>470</v>
      </c>
      <c r="WXH335" s="301" t="s">
        <v>470</v>
      </c>
      <c r="WXI335" s="301" t="s">
        <v>470</v>
      </c>
      <c r="WXJ335" s="301" t="s">
        <v>470</v>
      </c>
      <c r="WXK335" s="301" t="s">
        <v>470</v>
      </c>
      <c r="WXL335" s="301" t="s">
        <v>470</v>
      </c>
      <c r="WXM335" s="301" t="s">
        <v>470</v>
      </c>
      <c r="WXN335" s="301" t="s">
        <v>470</v>
      </c>
      <c r="WXO335" s="301" t="s">
        <v>470</v>
      </c>
      <c r="WXP335" s="301" t="s">
        <v>470</v>
      </c>
      <c r="WXQ335" s="301" t="s">
        <v>470</v>
      </c>
      <c r="WXR335" s="301" t="s">
        <v>470</v>
      </c>
      <c r="WXS335" s="301" t="s">
        <v>470</v>
      </c>
      <c r="WXT335" s="301" t="s">
        <v>470</v>
      </c>
      <c r="WXU335" s="301" t="s">
        <v>470</v>
      </c>
      <c r="WXV335" s="301" t="s">
        <v>470</v>
      </c>
      <c r="WXW335" s="301" t="s">
        <v>470</v>
      </c>
      <c r="WXX335" s="301" t="s">
        <v>470</v>
      </c>
      <c r="WXY335" s="301" t="s">
        <v>470</v>
      </c>
      <c r="WXZ335" s="301" t="s">
        <v>470</v>
      </c>
      <c r="WYA335" s="301" t="s">
        <v>470</v>
      </c>
      <c r="WYB335" s="301" t="s">
        <v>470</v>
      </c>
      <c r="WYC335" s="301" t="s">
        <v>470</v>
      </c>
      <c r="WYD335" s="301" t="s">
        <v>470</v>
      </c>
      <c r="WYE335" s="301" t="s">
        <v>470</v>
      </c>
      <c r="WYF335" s="301" t="s">
        <v>470</v>
      </c>
      <c r="WYG335" s="301" t="s">
        <v>470</v>
      </c>
      <c r="WYH335" s="301" t="s">
        <v>470</v>
      </c>
      <c r="WYI335" s="301" t="s">
        <v>470</v>
      </c>
      <c r="WYJ335" s="301" t="s">
        <v>470</v>
      </c>
      <c r="WYK335" s="301" t="s">
        <v>470</v>
      </c>
      <c r="WYL335" s="301" t="s">
        <v>470</v>
      </c>
      <c r="WYM335" s="301" t="s">
        <v>470</v>
      </c>
      <c r="WYN335" s="301" t="s">
        <v>470</v>
      </c>
      <c r="WYO335" s="301" t="s">
        <v>470</v>
      </c>
      <c r="WYP335" s="301" t="s">
        <v>470</v>
      </c>
      <c r="WYQ335" s="301" t="s">
        <v>470</v>
      </c>
      <c r="WYR335" s="301" t="s">
        <v>470</v>
      </c>
      <c r="WYS335" s="301" t="s">
        <v>470</v>
      </c>
      <c r="WYT335" s="301" t="s">
        <v>470</v>
      </c>
      <c r="WYU335" s="301" t="s">
        <v>470</v>
      </c>
      <c r="WYV335" s="301" t="s">
        <v>470</v>
      </c>
      <c r="WYW335" s="301" t="s">
        <v>470</v>
      </c>
      <c r="WYX335" s="301" t="s">
        <v>470</v>
      </c>
      <c r="WYY335" s="301" t="s">
        <v>470</v>
      </c>
      <c r="WYZ335" s="301" t="s">
        <v>470</v>
      </c>
      <c r="WZA335" s="301" t="s">
        <v>470</v>
      </c>
      <c r="WZB335" s="301" t="s">
        <v>470</v>
      </c>
      <c r="WZC335" s="301" t="s">
        <v>470</v>
      </c>
      <c r="WZD335" s="301" t="s">
        <v>470</v>
      </c>
      <c r="WZE335" s="301" t="s">
        <v>470</v>
      </c>
      <c r="WZF335" s="301" t="s">
        <v>470</v>
      </c>
      <c r="WZG335" s="301" t="s">
        <v>470</v>
      </c>
      <c r="WZH335" s="301" t="s">
        <v>470</v>
      </c>
      <c r="WZI335" s="301" t="s">
        <v>470</v>
      </c>
      <c r="WZJ335" s="301" t="s">
        <v>470</v>
      </c>
      <c r="WZK335" s="301" t="s">
        <v>470</v>
      </c>
      <c r="WZL335" s="301" t="s">
        <v>470</v>
      </c>
      <c r="WZM335" s="301" t="s">
        <v>470</v>
      </c>
      <c r="WZN335" s="301" t="s">
        <v>470</v>
      </c>
      <c r="WZO335" s="301" t="s">
        <v>470</v>
      </c>
      <c r="WZP335" s="301" t="s">
        <v>470</v>
      </c>
      <c r="WZQ335" s="301" t="s">
        <v>470</v>
      </c>
      <c r="WZR335" s="301" t="s">
        <v>470</v>
      </c>
      <c r="WZS335" s="301" t="s">
        <v>470</v>
      </c>
      <c r="WZT335" s="301" t="s">
        <v>470</v>
      </c>
      <c r="WZU335" s="301" t="s">
        <v>470</v>
      </c>
      <c r="WZV335" s="301" t="s">
        <v>470</v>
      </c>
      <c r="WZW335" s="301" t="s">
        <v>470</v>
      </c>
      <c r="WZX335" s="301" t="s">
        <v>470</v>
      </c>
      <c r="WZY335" s="301" t="s">
        <v>470</v>
      </c>
      <c r="WZZ335" s="301" t="s">
        <v>470</v>
      </c>
      <c r="XAA335" s="301" t="s">
        <v>470</v>
      </c>
      <c r="XAB335" s="301" t="s">
        <v>470</v>
      </c>
      <c r="XAC335" s="301" t="s">
        <v>470</v>
      </c>
      <c r="XAD335" s="301" t="s">
        <v>470</v>
      </c>
      <c r="XAE335" s="301" t="s">
        <v>470</v>
      </c>
      <c r="XAF335" s="301" t="s">
        <v>470</v>
      </c>
      <c r="XAG335" s="301" t="s">
        <v>470</v>
      </c>
      <c r="XAH335" s="301" t="s">
        <v>470</v>
      </c>
      <c r="XAI335" s="301" t="s">
        <v>470</v>
      </c>
      <c r="XAJ335" s="301" t="s">
        <v>470</v>
      </c>
      <c r="XAK335" s="301" t="s">
        <v>470</v>
      </c>
      <c r="XAL335" s="301" t="s">
        <v>470</v>
      </c>
      <c r="XAM335" s="301" t="s">
        <v>470</v>
      </c>
      <c r="XAN335" s="301" t="s">
        <v>470</v>
      </c>
      <c r="XAO335" s="301" t="s">
        <v>470</v>
      </c>
      <c r="XAP335" s="301" t="s">
        <v>470</v>
      </c>
      <c r="XAQ335" s="301" t="s">
        <v>470</v>
      </c>
      <c r="XAR335" s="301" t="s">
        <v>470</v>
      </c>
      <c r="XAS335" s="301" t="s">
        <v>470</v>
      </c>
      <c r="XAT335" s="301" t="s">
        <v>470</v>
      </c>
      <c r="XAU335" s="301" t="s">
        <v>470</v>
      </c>
      <c r="XAV335" s="301" t="s">
        <v>470</v>
      </c>
      <c r="XAW335" s="301" t="s">
        <v>470</v>
      </c>
      <c r="XAX335" s="301" t="s">
        <v>470</v>
      </c>
      <c r="XAY335" s="301" t="s">
        <v>470</v>
      </c>
      <c r="XAZ335" s="301" t="s">
        <v>470</v>
      </c>
      <c r="XBA335" s="301" t="s">
        <v>470</v>
      </c>
      <c r="XBB335" s="301" t="s">
        <v>470</v>
      </c>
      <c r="XBC335" s="301" t="s">
        <v>470</v>
      </c>
      <c r="XBD335" s="301" t="s">
        <v>470</v>
      </c>
      <c r="XBE335" s="301" t="s">
        <v>470</v>
      </c>
      <c r="XBF335" s="301" t="s">
        <v>470</v>
      </c>
      <c r="XBG335" s="301" t="s">
        <v>470</v>
      </c>
      <c r="XBH335" s="301" t="s">
        <v>470</v>
      </c>
      <c r="XBI335" s="301" t="s">
        <v>470</v>
      </c>
      <c r="XBJ335" s="301" t="s">
        <v>470</v>
      </c>
      <c r="XBK335" s="301" t="s">
        <v>470</v>
      </c>
      <c r="XBL335" s="301" t="s">
        <v>470</v>
      </c>
      <c r="XBM335" s="301" t="s">
        <v>470</v>
      </c>
      <c r="XBN335" s="301" t="s">
        <v>470</v>
      </c>
      <c r="XBO335" s="301" t="s">
        <v>470</v>
      </c>
      <c r="XBP335" s="301" t="s">
        <v>470</v>
      </c>
      <c r="XBQ335" s="301" t="s">
        <v>470</v>
      </c>
      <c r="XBR335" s="301" t="s">
        <v>470</v>
      </c>
      <c r="XBS335" s="301" t="s">
        <v>470</v>
      </c>
      <c r="XBT335" s="301" t="s">
        <v>470</v>
      </c>
      <c r="XBU335" s="301" t="s">
        <v>470</v>
      </c>
      <c r="XBV335" s="301" t="s">
        <v>470</v>
      </c>
      <c r="XBW335" s="301" t="s">
        <v>470</v>
      </c>
      <c r="XBX335" s="301" t="s">
        <v>470</v>
      </c>
      <c r="XBY335" s="301" t="s">
        <v>470</v>
      </c>
      <c r="XBZ335" s="301" t="s">
        <v>470</v>
      </c>
      <c r="XCA335" s="301" t="s">
        <v>470</v>
      </c>
      <c r="XCB335" s="301" t="s">
        <v>470</v>
      </c>
      <c r="XCC335" s="301" t="s">
        <v>470</v>
      </c>
      <c r="XCD335" s="301" t="s">
        <v>470</v>
      </c>
      <c r="XCE335" s="301" t="s">
        <v>470</v>
      </c>
      <c r="XCF335" s="301" t="s">
        <v>470</v>
      </c>
      <c r="XCG335" s="301" t="s">
        <v>470</v>
      </c>
      <c r="XCH335" s="301" t="s">
        <v>470</v>
      </c>
      <c r="XCI335" s="301" t="s">
        <v>470</v>
      </c>
      <c r="XCJ335" s="301" t="s">
        <v>470</v>
      </c>
      <c r="XCK335" s="301" t="s">
        <v>470</v>
      </c>
      <c r="XCL335" s="301" t="s">
        <v>470</v>
      </c>
      <c r="XCM335" s="301" t="s">
        <v>470</v>
      </c>
      <c r="XCN335" s="301" t="s">
        <v>470</v>
      </c>
      <c r="XCO335" s="301" t="s">
        <v>470</v>
      </c>
      <c r="XCP335" s="301" t="s">
        <v>470</v>
      </c>
      <c r="XCQ335" s="301" t="s">
        <v>470</v>
      </c>
      <c r="XCR335" s="301" t="s">
        <v>470</v>
      </c>
      <c r="XCS335" s="301" t="s">
        <v>470</v>
      </c>
      <c r="XCT335" s="301" t="s">
        <v>470</v>
      </c>
      <c r="XCU335" s="301" t="s">
        <v>470</v>
      </c>
      <c r="XCV335" s="301" t="s">
        <v>470</v>
      </c>
      <c r="XCW335" s="301" t="s">
        <v>470</v>
      </c>
      <c r="XCX335" s="301" t="s">
        <v>470</v>
      </c>
      <c r="XCY335" s="301" t="s">
        <v>470</v>
      </c>
      <c r="XCZ335" s="301" t="s">
        <v>470</v>
      </c>
      <c r="XDA335" s="301" t="s">
        <v>470</v>
      </c>
      <c r="XDB335" s="301" t="s">
        <v>470</v>
      </c>
      <c r="XDC335" s="301" t="s">
        <v>470</v>
      </c>
      <c r="XDD335" s="301" t="s">
        <v>470</v>
      </c>
      <c r="XDE335" s="301" t="s">
        <v>470</v>
      </c>
      <c r="XDF335" s="301" t="s">
        <v>470</v>
      </c>
      <c r="XDG335" s="301" t="s">
        <v>470</v>
      </c>
      <c r="XDH335" s="301" t="s">
        <v>470</v>
      </c>
      <c r="XDI335" s="301" t="s">
        <v>470</v>
      </c>
      <c r="XDJ335" s="301" t="s">
        <v>470</v>
      </c>
      <c r="XDK335" s="301" t="s">
        <v>470</v>
      </c>
      <c r="XDL335" s="301" t="s">
        <v>470</v>
      </c>
      <c r="XDM335" s="301" t="s">
        <v>470</v>
      </c>
      <c r="XDN335" s="301" t="s">
        <v>470</v>
      </c>
      <c r="XDO335" s="301" t="s">
        <v>470</v>
      </c>
      <c r="XDP335" s="301" t="s">
        <v>470</v>
      </c>
      <c r="XDQ335" s="301" t="s">
        <v>470</v>
      </c>
      <c r="XDR335" s="301" t="s">
        <v>470</v>
      </c>
      <c r="XDS335" s="301" t="s">
        <v>470</v>
      </c>
      <c r="XDT335" s="301" t="s">
        <v>470</v>
      </c>
      <c r="XDU335" s="301" t="s">
        <v>470</v>
      </c>
      <c r="XDV335" s="301" t="s">
        <v>470</v>
      </c>
      <c r="XDW335" s="301" t="s">
        <v>470</v>
      </c>
      <c r="XDX335" s="301" t="s">
        <v>470</v>
      </c>
      <c r="XDY335" s="301" t="s">
        <v>470</v>
      </c>
      <c r="XDZ335" s="301" t="s">
        <v>470</v>
      </c>
      <c r="XEA335" s="301" t="s">
        <v>470</v>
      </c>
      <c r="XEB335" s="301" t="s">
        <v>470</v>
      </c>
      <c r="XEC335" s="301" t="s">
        <v>470</v>
      </c>
      <c r="XED335" s="301" t="s">
        <v>470</v>
      </c>
      <c r="XEE335" s="301" t="s">
        <v>470</v>
      </c>
      <c r="XEF335" s="301" t="s">
        <v>470</v>
      </c>
      <c r="XEG335" s="301" t="s">
        <v>470</v>
      </c>
      <c r="XEH335" s="301" t="s">
        <v>470</v>
      </c>
      <c r="XEI335" s="301" t="s">
        <v>470</v>
      </c>
      <c r="XEJ335" s="301" t="s">
        <v>470</v>
      </c>
      <c r="XEK335" s="301" t="s">
        <v>470</v>
      </c>
      <c r="XEL335" s="301" t="s">
        <v>470</v>
      </c>
      <c r="XEM335" s="301" t="s">
        <v>470</v>
      </c>
      <c r="XEN335" s="301" t="s">
        <v>470</v>
      </c>
      <c r="XEO335" s="301" t="s">
        <v>470</v>
      </c>
      <c r="XEP335" s="301" t="s">
        <v>470</v>
      </c>
      <c r="XEQ335" s="301" t="s">
        <v>470</v>
      </c>
      <c r="XER335" s="301" t="s">
        <v>470</v>
      </c>
      <c r="XES335" s="301" t="s">
        <v>470</v>
      </c>
      <c r="XET335" s="301" t="s">
        <v>470</v>
      </c>
      <c r="XEU335" s="301" t="s">
        <v>470</v>
      </c>
      <c r="XEV335" s="301" t="s">
        <v>470</v>
      </c>
      <c r="XEW335" s="301" t="s">
        <v>470</v>
      </c>
      <c r="XEX335" s="301" t="s">
        <v>470</v>
      </c>
      <c r="XEY335" s="301" t="s">
        <v>470</v>
      </c>
      <c r="XEZ335" s="301" t="s">
        <v>470</v>
      </c>
      <c r="XFA335" s="301" t="s">
        <v>470</v>
      </c>
      <c r="XFB335" s="301" t="s">
        <v>470</v>
      </c>
      <c r="XFC335" s="301" t="s">
        <v>470</v>
      </c>
      <c r="XFD335" s="301" t="s">
        <v>470</v>
      </c>
    </row>
    <row r="336" spans="1:16384" s="130" customFormat="1" ht="13" customHeight="1" x14ac:dyDescent="0.3">
      <c r="B336" s="301" t="s">
        <v>477</v>
      </c>
      <c r="C336" s="303"/>
      <c r="D336" s="303"/>
      <c r="E336" s="303"/>
      <c r="F336" s="303"/>
      <c r="G336" s="303"/>
      <c r="H336" s="303"/>
      <c r="I336" s="303"/>
      <c r="J336" s="303"/>
      <c r="K336" s="303"/>
      <c r="L336" s="303"/>
      <c r="M336" s="303"/>
      <c r="N336" s="303"/>
      <c r="O336" s="303"/>
      <c r="P336" s="303"/>
      <c r="Q336" s="303"/>
      <c r="R336" s="303"/>
      <c r="S336" s="303"/>
      <c r="T336" s="4"/>
      <c r="U336" s="4"/>
      <c r="Y336" s="261"/>
    </row>
    <row r="337" spans="2:23" ht="13" customHeight="1" x14ac:dyDescent="0.3">
      <c r="B337" s="327"/>
      <c r="C337" s="330"/>
      <c r="D337" s="336"/>
      <c r="E337" s="337"/>
      <c r="F337" s="338"/>
      <c r="G337" s="336"/>
      <c r="H337" s="342"/>
      <c r="I337" s="343"/>
      <c r="J337" s="336"/>
      <c r="K337" s="342"/>
      <c r="L337" s="343"/>
      <c r="M337" s="336"/>
      <c r="N337" s="342"/>
      <c r="O337" s="343"/>
      <c r="P337" s="336"/>
      <c r="Q337" s="342"/>
      <c r="R337" s="343"/>
      <c r="S337" s="333" t="s">
        <v>213</v>
      </c>
      <c r="T337" s="4"/>
      <c r="U337" s="4"/>
    </row>
    <row r="338" spans="2:23" ht="13" customHeight="1" x14ac:dyDescent="0.3">
      <c r="B338" s="328" t="s">
        <v>0</v>
      </c>
      <c r="C338" s="331" t="s">
        <v>1</v>
      </c>
      <c r="D338" s="354" t="s">
        <v>220</v>
      </c>
      <c r="E338" s="257"/>
      <c r="F338" s="355"/>
      <c r="G338" s="354" t="s">
        <v>221</v>
      </c>
      <c r="H338" s="259"/>
      <c r="I338" s="356"/>
      <c r="J338" s="354" t="s">
        <v>390</v>
      </c>
      <c r="K338" s="259"/>
      <c r="L338" s="356"/>
      <c r="M338" s="354" t="s">
        <v>287</v>
      </c>
      <c r="N338" s="259"/>
      <c r="O338" s="356"/>
      <c r="P338" s="354" t="s">
        <v>222</v>
      </c>
      <c r="Q338" s="259"/>
      <c r="R338" s="356"/>
      <c r="S338" s="334" t="s">
        <v>9</v>
      </c>
      <c r="T338" s="4"/>
      <c r="U338" s="4"/>
    </row>
    <row r="339" spans="2:23" ht="12.65" customHeight="1" x14ac:dyDescent="0.3">
      <c r="B339" s="329"/>
      <c r="C339" s="332"/>
      <c r="D339" s="339"/>
      <c r="E339" s="340"/>
      <c r="F339" s="341"/>
      <c r="G339" s="339"/>
      <c r="H339" s="344"/>
      <c r="I339" s="345"/>
      <c r="J339" s="339"/>
      <c r="K339" s="344"/>
      <c r="L339" s="345"/>
      <c r="M339" s="339"/>
      <c r="N339" s="344"/>
      <c r="O339" s="345"/>
      <c r="P339" s="339"/>
      <c r="Q339" s="344"/>
      <c r="R339" s="345"/>
      <c r="S339" s="335"/>
      <c r="T339" s="4"/>
      <c r="U339" s="4"/>
    </row>
    <row r="340" spans="2:23" ht="13" customHeight="1" x14ac:dyDescent="0.3">
      <c r="B340" s="316"/>
      <c r="C340" s="305" t="s">
        <v>327</v>
      </c>
      <c r="D340" s="305" t="s">
        <v>213</v>
      </c>
      <c r="E340" s="313">
        <v>24</v>
      </c>
      <c r="F340" s="305"/>
      <c r="G340" s="305" t="s">
        <v>213</v>
      </c>
      <c r="H340" s="313">
        <v>0</v>
      </c>
      <c r="I340" s="305"/>
      <c r="J340" s="313"/>
      <c r="K340" s="313"/>
      <c r="L340" s="308"/>
      <c r="M340" s="313"/>
      <c r="N340" s="313"/>
      <c r="O340" s="308"/>
      <c r="P340" s="313"/>
      <c r="Q340" s="313"/>
      <c r="R340" s="308"/>
      <c r="S340" s="309">
        <v>24</v>
      </c>
      <c r="T340" s="4"/>
      <c r="U340" s="4"/>
    </row>
    <row r="341" spans="2:23" ht="13" customHeight="1" x14ac:dyDescent="0.3">
      <c r="B341" s="316"/>
      <c r="C341" s="305" t="s">
        <v>293</v>
      </c>
      <c r="D341" s="305"/>
      <c r="E341" s="313">
        <v>14</v>
      </c>
      <c r="F341" s="305"/>
      <c r="G341" s="313"/>
      <c r="H341" s="313"/>
      <c r="I341" s="308"/>
      <c r="J341" s="313"/>
      <c r="K341" s="313"/>
      <c r="L341" s="308"/>
      <c r="M341" s="313"/>
      <c r="N341" s="313"/>
      <c r="O341" s="308"/>
      <c r="P341" s="313"/>
      <c r="Q341" s="313"/>
      <c r="R341" s="308"/>
      <c r="S341" s="309">
        <v>14</v>
      </c>
      <c r="T341" s="4"/>
      <c r="U341" s="4"/>
    </row>
    <row r="342" spans="2:23" ht="13" customHeight="1" x14ac:dyDescent="0.3"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</row>
    <row r="343" spans="2:23" ht="13" customHeight="1" x14ac:dyDescent="0.3"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</row>
    <row r="344" spans="2:23" ht="39" customHeight="1" x14ac:dyDescent="0.55000000000000004">
      <c r="B344" s="164" t="s">
        <v>43</v>
      </c>
      <c r="C344" s="165"/>
      <c r="D344" s="165"/>
      <c r="E344" s="165"/>
      <c r="F344" s="165"/>
      <c r="G344" s="165"/>
      <c r="H344" s="165"/>
      <c r="I344" s="165"/>
      <c r="J344" s="165"/>
      <c r="K344" s="165"/>
      <c r="L344" s="165"/>
      <c r="M344" s="165"/>
      <c r="N344" s="165"/>
      <c r="O344" s="165"/>
      <c r="P344" s="165"/>
      <c r="Q344" s="165"/>
      <c r="R344" s="165"/>
      <c r="S344" s="165"/>
      <c r="T344" s="4"/>
      <c r="U344" s="4"/>
    </row>
    <row r="345" spans="2:23" ht="37.5" customHeight="1" x14ac:dyDescent="0.3">
      <c r="B345" s="302" t="s">
        <v>479</v>
      </c>
      <c r="C345" s="303"/>
      <c r="D345" s="303"/>
      <c r="E345" s="303"/>
      <c r="F345" s="303"/>
      <c r="G345" s="303"/>
      <c r="H345" s="303"/>
      <c r="I345" s="303"/>
      <c r="J345" s="303"/>
      <c r="K345" s="303"/>
      <c r="L345" s="303"/>
      <c r="M345" s="303"/>
      <c r="N345" s="303"/>
      <c r="O345" s="303"/>
      <c r="P345" s="303"/>
      <c r="Q345" s="303"/>
      <c r="R345" s="303"/>
      <c r="S345" s="303"/>
      <c r="T345" s="4"/>
      <c r="U345" s="4"/>
      <c r="V345" s="30"/>
      <c r="W345" s="30"/>
    </row>
    <row r="346" spans="2:23" ht="12.75" customHeight="1" x14ac:dyDescent="0.3">
      <c r="B346" s="327"/>
      <c r="C346" s="330"/>
      <c r="D346" s="336"/>
      <c r="E346" s="337"/>
      <c r="F346" s="338"/>
      <c r="G346" s="336"/>
      <c r="H346" s="342"/>
      <c r="I346" s="343"/>
      <c r="J346" s="336"/>
      <c r="K346" s="342"/>
      <c r="L346" s="343"/>
      <c r="M346" s="336"/>
      <c r="N346" s="342"/>
      <c r="O346" s="343"/>
      <c r="P346" s="336"/>
      <c r="Q346" s="342"/>
      <c r="R346" s="343"/>
      <c r="S346" s="333" t="s">
        <v>213</v>
      </c>
      <c r="T346" s="4"/>
      <c r="U346" s="4"/>
      <c r="V346" s="30"/>
      <c r="W346" s="30"/>
    </row>
    <row r="347" spans="2:23" ht="12.75" customHeight="1" x14ac:dyDescent="0.3">
      <c r="B347" s="328" t="s">
        <v>0</v>
      </c>
      <c r="C347" s="331" t="s">
        <v>353</v>
      </c>
      <c r="D347" s="354" t="s">
        <v>220</v>
      </c>
      <c r="E347" s="257"/>
      <c r="F347" s="355"/>
      <c r="G347" s="354" t="s">
        <v>221</v>
      </c>
      <c r="H347" s="259"/>
      <c r="I347" s="356"/>
      <c r="J347" s="354" t="s">
        <v>390</v>
      </c>
      <c r="K347" s="259"/>
      <c r="L347" s="356"/>
      <c r="M347" s="354" t="s">
        <v>287</v>
      </c>
      <c r="N347" s="259"/>
      <c r="O347" s="356"/>
      <c r="P347" s="354" t="s">
        <v>222</v>
      </c>
      <c r="Q347" s="259"/>
      <c r="R347" s="356"/>
      <c r="S347" s="334" t="s">
        <v>9</v>
      </c>
      <c r="T347" s="4"/>
      <c r="U347" s="4"/>
      <c r="V347" s="519" t="s">
        <v>223</v>
      </c>
      <c r="W347" s="521" t="s">
        <v>4</v>
      </c>
    </row>
    <row r="348" spans="2:23" ht="12.75" customHeight="1" x14ac:dyDescent="0.3">
      <c r="B348" s="329"/>
      <c r="C348" s="332"/>
      <c r="D348" s="339"/>
      <c r="E348" s="340"/>
      <c r="F348" s="341"/>
      <c r="G348" s="339"/>
      <c r="H348" s="344"/>
      <c r="I348" s="345"/>
      <c r="J348" s="339"/>
      <c r="K348" s="344"/>
      <c r="L348" s="345"/>
      <c r="M348" s="339"/>
      <c r="N348" s="344"/>
      <c r="O348" s="345"/>
      <c r="P348" s="339"/>
      <c r="Q348" s="344"/>
      <c r="R348" s="345"/>
      <c r="S348" s="335"/>
      <c r="T348" s="4"/>
      <c r="U348" s="4"/>
      <c r="V348" s="520"/>
      <c r="W348" s="522"/>
    </row>
    <row r="349" spans="2:23" ht="12.75" customHeight="1" x14ac:dyDescent="0.3">
      <c r="B349" s="304">
        <v>1</v>
      </c>
      <c r="C349" s="305" t="s">
        <v>232</v>
      </c>
      <c r="D349" s="305"/>
      <c r="E349" s="307">
        <v>44</v>
      </c>
      <c r="F349" s="305"/>
      <c r="G349" s="305" t="s">
        <v>213</v>
      </c>
      <c r="H349" s="307">
        <v>82</v>
      </c>
      <c r="I349" s="305"/>
      <c r="J349" s="305"/>
      <c r="K349" s="307">
        <v>129</v>
      </c>
      <c r="L349" s="305"/>
      <c r="M349" s="305"/>
      <c r="N349" s="307">
        <v>52</v>
      </c>
      <c r="O349" s="305"/>
      <c r="P349" s="305"/>
      <c r="Q349" s="307">
        <v>45</v>
      </c>
      <c r="R349" s="305"/>
      <c r="S349" s="309">
        <v>352</v>
      </c>
      <c r="T349" s="4"/>
      <c r="U349" s="4"/>
      <c r="V349" s="140" t="str">
        <f t="shared" ref="V349:V354" si="8">IF(W349&gt;=3,"Sí","No")</f>
        <v>Sí</v>
      </c>
      <c r="W349" s="141">
        <f t="shared" ref="W349:W354" si="9">COUNTA(H349,K349,N349,Q349,E349)</f>
        <v>5</v>
      </c>
    </row>
    <row r="350" spans="2:23" ht="13" x14ac:dyDescent="0.3">
      <c r="B350" s="304">
        <v>2</v>
      </c>
      <c r="C350" s="305" t="s">
        <v>175</v>
      </c>
      <c r="D350" s="305" t="s">
        <v>213</v>
      </c>
      <c r="E350" s="307">
        <v>52</v>
      </c>
      <c r="F350" s="305"/>
      <c r="G350" s="305" t="s">
        <v>213</v>
      </c>
      <c r="H350" s="307">
        <v>48</v>
      </c>
      <c r="I350" s="305"/>
      <c r="J350" s="305"/>
      <c r="K350" s="307">
        <v>60</v>
      </c>
      <c r="L350" s="305"/>
      <c r="M350" s="305"/>
      <c r="N350" s="307">
        <v>40</v>
      </c>
      <c r="O350" s="305"/>
      <c r="P350" s="305"/>
      <c r="Q350" s="307">
        <v>12</v>
      </c>
      <c r="R350" s="305"/>
      <c r="S350" s="309">
        <v>212</v>
      </c>
      <c r="T350" s="4"/>
      <c r="U350" s="4"/>
      <c r="V350" s="140" t="str">
        <f t="shared" si="8"/>
        <v>Sí</v>
      </c>
      <c r="W350" s="141">
        <f t="shared" si="9"/>
        <v>5</v>
      </c>
    </row>
    <row r="351" spans="2:23" ht="12.75" customHeight="1" x14ac:dyDescent="0.3">
      <c r="B351" s="304">
        <v>3</v>
      </c>
      <c r="C351" s="305" t="s">
        <v>171</v>
      </c>
      <c r="D351" s="305"/>
      <c r="E351" s="307">
        <v>38</v>
      </c>
      <c r="F351" s="305"/>
      <c r="G351" s="305" t="s">
        <v>213</v>
      </c>
      <c r="H351" s="307">
        <v>16</v>
      </c>
      <c r="I351" s="305"/>
      <c r="J351" s="305"/>
      <c r="K351" s="307">
        <v>39</v>
      </c>
      <c r="L351" s="305"/>
      <c r="M351" s="305"/>
      <c r="N351" s="307">
        <v>28</v>
      </c>
      <c r="O351" s="305"/>
      <c r="P351" s="305"/>
      <c r="Q351" s="307">
        <v>4</v>
      </c>
      <c r="R351" s="305"/>
      <c r="S351" s="309">
        <v>125</v>
      </c>
      <c r="T351" s="4"/>
      <c r="U351" s="4"/>
      <c r="V351" s="140" t="str">
        <f t="shared" si="8"/>
        <v>Sí</v>
      </c>
      <c r="W351" s="141">
        <f t="shared" si="9"/>
        <v>5</v>
      </c>
    </row>
    <row r="352" spans="2:23" ht="12.75" customHeight="1" x14ac:dyDescent="0.3">
      <c r="B352" s="304">
        <v>4</v>
      </c>
      <c r="C352" s="305" t="s">
        <v>172</v>
      </c>
      <c r="D352" s="305"/>
      <c r="E352" s="307">
        <v>30</v>
      </c>
      <c r="F352" s="305"/>
      <c r="G352" s="305" t="s">
        <v>213</v>
      </c>
      <c r="H352" s="307">
        <v>34</v>
      </c>
      <c r="I352" s="305"/>
      <c r="J352" s="305"/>
      <c r="K352" s="307">
        <v>21</v>
      </c>
      <c r="L352" s="305"/>
      <c r="M352" s="305"/>
      <c r="N352" s="307">
        <v>20</v>
      </c>
      <c r="O352" s="305"/>
      <c r="P352" s="305"/>
      <c r="Q352" s="307">
        <v>11</v>
      </c>
      <c r="R352" s="305"/>
      <c r="S352" s="309">
        <v>116</v>
      </c>
      <c r="T352" s="4"/>
      <c r="U352" s="4"/>
      <c r="V352" s="140" t="str">
        <f t="shared" si="8"/>
        <v>Sí</v>
      </c>
      <c r="W352" s="141">
        <f t="shared" si="9"/>
        <v>5</v>
      </c>
    </row>
    <row r="353" spans="2:23" ht="12.75" customHeight="1" x14ac:dyDescent="0.3">
      <c r="B353" s="304">
        <v>5</v>
      </c>
      <c r="C353" s="305" t="s">
        <v>189</v>
      </c>
      <c r="D353" s="305"/>
      <c r="E353" s="307">
        <v>30</v>
      </c>
      <c r="F353" s="305"/>
      <c r="G353" s="305" t="s">
        <v>213</v>
      </c>
      <c r="H353" s="307">
        <v>0</v>
      </c>
      <c r="I353" s="305"/>
      <c r="J353" s="305"/>
      <c r="K353" s="307">
        <v>0</v>
      </c>
      <c r="L353" s="305"/>
      <c r="M353" s="305"/>
      <c r="N353" s="307">
        <v>62</v>
      </c>
      <c r="O353" s="305"/>
      <c r="P353" s="305"/>
      <c r="Q353" s="307">
        <v>20</v>
      </c>
      <c r="R353" s="305"/>
      <c r="S353" s="309">
        <v>112</v>
      </c>
      <c r="T353" s="4"/>
      <c r="U353" s="4"/>
      <c r="V353" s="140" t="str">
        <f t="shared" si="8"/>
        <v>Sí</v>
      </c>
      <c r="W353" s="141">
        <f t="shared" si="9"/>
        <v>5</v>
      </c>
    </row>
    <row r="354" spans="2:23" ht="12.75" customHeight="1" x14ac:dyDescent="0.3">
      <c r="B354" s="304">
        <v>6</v>
      </c>
      <c r="C354" s="305" t="s">
        <v>304</v>
      </c>
      <c r="D354" s="305"/>
      <c r="E354" s="307">
        <v>2</v>
      </c>
      <c r="F354" s="305"/>
      <c r="G354" s="305" t="s">
        <v>213</v>
      </c>
      <c r="H354" s="307">
        <v>10</v>
      </c>
      <c r="I354" s="305"/>
      <c r="J354" s="305"/>
      <c r="K354" s="307">
        <v>15</v>
      </c>
      <c r="L354" s="305"/>
      <c r="M354" s="305"/>
      <c r="N354" s="307">
        <v>0</v>
      </c>
      <c r="O354" s="305"/>
      <c r="P354" s="313"/>
      <c r="Q354" s="307"/>
      <c r="R354" s="308"/>
      <c r="S354" s="309">
        <v>27</v>
      </c>
      <c r="T354" s="4"/>
      <c r="U354" s="4"/>
      <c r="V354" s="140" t="str">
        <f t="shared" si="8"/>
        <v>Sí</v>
      </c>
      <c r="W354" s="141">
        <f t="shared" si="9"/>
        <v>4</v>
      </c>
    </row>
    <row r="355" spans="2:23" ht="12.75" customHeight="1" x14ac:dyDescent="0.3">
      <c r="B355" s="304">
        <v>7</v>
      </c>
      <c r="C355" s="305" t="s">
        <v>299</v>
      </c>
      <c r="D355" s="305"/>
      <c r="E355" s="307">
        <v>8</v>
      </c>
      <c r="F355" s="305"/>
      <c r="G355" s="305" t="s">
        <v>213</v>
      </c>
      <c r="H355" s="307">
        <v>0</v>
      </c>
      <c r="I355" s="305"/>
      <c r="J355" s="305"/>
      <c r="K355" s="307">
        <v>0</v>
      </c>
      <c r="L355" s="305"/>
      <c r="M355" s="313"/>
      <c r="N355" s="307"/>
      <c r="O355" s="308"/>
      <c r="P355" s="305"/>
      <c r="Q355" s="307">
        <v>5</v>
      </c>
      <c r="R355" s="305"/>
      <c r="S355" s="309">
        <v>13</v>
      </c>
      <c r="T355" s="4"/>
      <c r="U355" s="4"/>
      <c r="V355" s="140" t="str">
        <f>IF(W355&gt;=3,"Sí","No")</f>
        <v>Sí</v>
      </c>
      <c r="W355" s="141">
        <f>COUNTA(H355,K355,N355,Q355,E355)</f>
        <v>4</v>
      </c>
    </row>
    <row r="356" spans="2:23" ht="12.75" customHeight="1" x14ac:dyDescent="0.3">
      <c r="B356" s="304">
        <v>8</v>
      </c>
      <c r="C356" s="305" t="s">
        <v>308</v>
      </c>
      <c r="D356" s="305"/>
      <c r="E356" s="307">
        <v>0</v>
      </c>
      <c r="F356" s="305"/>
      <c r="G356" s="313"/>
      <c r="H356" s="307"/>
      <c r="I356" s="308"/>
      <c r="J356" s="305"/>
      <c r="K356" s="307">
        <v>12</v>
      </c>
      <c r="L356" s="305"/>
      <c r="M356" s="305"/>
      <c r="N356" s="307">
        <v>0</v>
      </c>
      <c r="O356" s="305"/>
      <c r="P356" s="313"/>
      <c r="Q356" s="307"/>
      <c r="R356" s="308"/>
      <c r="S356" s="309">
        <v>12</v>
      </c>
      <c r="T356" s="4"/>
      <c r="U356" s="4"/>
      <c r="V356" s="140" t="str">
        <f>IF(W356&gt;=3,"Sí","No")</f>
        <v>Sí</v>
      </c>
      <c r="W356" s="141">
        <f>COUNTA(H356,K356,N356,Q356,E356)</f>
        <v>3</v>
      </c>
    </row>
    <row r="357" spans="2:23" x14ac:dyDescent="0.3">
      <c r="T357" s="4"/>
      <c r="U357" s="4"/>
    </row>
    <row r="358" spans="2:23" x14ac:dyDescent="0.3">
      <c r="T358" s="4"/>
      <c r="U358" s="4"/>
    </row>
    <row r="359" spans="2:23" ht="13" x14ac:dyDescent="0.3">
      <c r="B359" s="301" t="s">
        <v>478</v>
      </c>
      <c r="C359" s="303"/>
      <c r="D359" s="303"/>
      <c r="E359" s="303"/>
      <c r="F359" s="303"/>
      <c r="G359" s="303"/>
      <c r="H359" s="303"/>
      <c r="I359" s="303"/>
      <c r="J359" s="303"/>
      <c r="K359" s="303"/>
      <c r="L359" s="303"/>
      <c r="M359" s="303"/>
      <c r="N359" s="303"/>
      <c r="O359" s="303"/>
      <c r="P359" s="303"/>
      <c r="Q359" s="303"/>
      <c r="R359" s="303"/>
      <c r="S359" s="303"/>
      <c r="T359" s="4"/>
      <c r="U359" s="4"/>
    </row>
    <row r="360" spans="2:23" ht="15.5" x14ac:dyDescent="0.3">
      <c r="B360" s="327"/>
      <c r="C360" s="330"/>
      <c r="D360" s="336"/>
      <c r="E360" s="337"/>
      <c r="F360" s="338"/>
      <c r="G360" s="336"/>
      <c r="H360" s="342"/>
      <c r="I360" s="343"/>
      <c r="J360" s="336"/>
      <c r="K360" s="342"/>
      <c r="L360" s="343"/>
      <c r="M360" s="336"/>
      <c r="N360" s="342"/>
      <c r="O360" s="343"/>
      <c r="P360" s="336"/>
      <c r="Q360" s="342"/>
      <c r="R360" s="343"/>
      <c r="S360" s="333" t="s">
        <v>213</v>
      </c>
      <c r="T360" s="4"/>
      <c r="U360" s="4"/>
    </row>
    <row r="361" spans="2:23" ht="19.5" x14ac:dyDescent="0.3">
      <c r="B361" s="328" t="s">
        <v>0</v>
      </c>
      <c r="C361" s="331" t="s">
        <v>353</v>
      </c>
      <c r="D361" s="354" t="s">
        <v>220</v>
      </c>
      <c r="E361" s="257"/>
      <c r="F361" s="355"/>
      <c r="G361" s="354" t="s">
        <v>221</v>
      </c>
      <c r="H361" s="259"/>
      <c r="I361" s="356"/>
      <c r="J361" s="354" t="s">
        <v>390</v>
      </c>
      <c r="K361" s="259"/>
      <c r="L361" s="356"/>
      <c r="M361" s="354" t="s">
        <v>287</v>
      </c>
      <c r="N361" s="259"/>
      <c r="O361" s="356"/>
      <c r="P361" s="354" t="s">
        <v>222</v>
      </c>
      <c r="Q361" s="259"/>
      <c r="R361" s="356"/>
      <c r="S361" s="334" t="s">
        <v>9</v>
      </c>
      <c r="T361" s="4"/>
      <c r="U361" s="4"/>
    </row>
    <row r="362" spans="2:23" ht="13" x14ac:dyDescent="0.3">
      <c r="B362" s="329"/>
      <c r="C362" s="332"/>
      <c r="D362" s="339"/>
      <c r="E362" s="340"/>
      <c r="F362" s="341"/>
      <c r="G362" s="339"/>
      <c r="H362" s="344"/>
      <c r="I362" s="345"/>
      <c r="J362" s="339"/>
      <c r="K362" s="344"/>
      <c r="L362" s="345"/>
      <c r="M362" s="339"/>
      <c r="N362" s="344"/>
      <c r="O362" s="345"/>
      <c r="P362" s="339"/>
      <c r="Q362" s="344"/>
      <c r="R362" s="345"/>
      <c r="S362" s="335"/>
      <c r="T362" s="4"/>
      <c r="U362" s="4"/>
    </row>
    <row r="363" spans="2:23" ht="12" x14ac:dyDescent="0.3">
      <c r="B363" s="318"/>
      <c r="C363" s="305" t="s">
        <v>330</v>
      </c>
      <c r="D363" s="313"/>
      <c r="E363" s="307"/>
      <c r="F363" s="308"/>
      <c r="G363" s="313"/>
      <c r="H363" s="307"/>
      <c r="I363" s="308"/>
      <c r="J363" s="313"/>
      <c r="K363" s="307"/>
      <c r="L363" s="308"/>
      <c r="M363" s="313"/>
      <c r="N363" s="307"/>
      <c r="O363" s="308"/>
      <c r="P363" s="305"/>
      <c r="Q363" s="307">
        <v>2</v>
      </c>
      <c r="R363" s="305"/>
      <c r="S363" s="309">
        <v>2</v>
      </c>
      <c r="T363" s="4"/>
      <c r="U363" s="4"/>
    </row>
    <row r="364" spans="2:23" ht="12" x14ac:dyDescent="0.3">
      <c r="B364" s="318"/>
      <c r="C364" s="305" t="s">
        <v>404</v>
      </c>
      <c r="D364" s="313"/>
      <c r="E364" s="307"/>
      <c r="F364" s="308"/>
      <c r="G364" s="313"/>
      <c r="H364" s="307"/>
      <c r="I364" s="308"/>
      <c r="J364" s="313"/>
      <c r="K364" s="307"/>
      <c r="L364" s="308"/>
      <c r="M364" s="305"/>
      <c r="N364" s="307">
        <v>0</v>
      </c>
      <c r="O364" s="305"/>
      <c r="P364" s="305"/>
      <c r="Q364" s="307">
        <v>0</v>
      </c>
      <c r="R364" s="305"/>
      <c r="S364" s="309">
        <v>0</v>
      </c>
      <c r="T364" s="4"/>
      <c r="U364" s="4"/>
    </row>
    <row r="365" spans="2:23" ht="12" x14ac:dyDescent="0.3">
      <c r="B365" s="318"/>
      <c r="C365" s="305" t="s">
        <v>444</v>
      </c>
      <c r="D365" s="313"/>
      <c r="E365" s="307"/>
      <c r="F365" s="308"/>
      <c r="G365" s="313"/>
      <c r="H365" s="307"/>
      <c r="I365" s="308"/>
      <c r="J365" s="313"/>
      <c r="K365" s="307"/>
      <c r="L365" s="308"/>
      <c r="M365" s="313"/>
      <c r="N365" s="307"/>
      <c r="O365" s="308"/>
      <c r="P365" s="305"/>
      <c r="Q365" s="307">
        <v>0</v>
      </c>
      <c r="R365" s="305"/>
      <c r="S365" s="309">
        <v>0</v>
      </c>
      <c r="T365" s="4"/>
      <c r="U365" s="4"/>
    </row>
    <row r="366" spans="2:23" x14ac:dyDescent="0.3">
      <c r="T366" s="4"/>
      <c r="U366" s="4"/>
    </row>
    <row r="367" spans="2:23" x14ac:dyDescent="0.3">
      <c r="T367" s="4"/>
      <c r="U367" s="4"/>
    </row>
    <row r="370" spans="2:25" ht="13" x14ac:dyDescent="0.3"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149"/>
      <c r="W370" s="127"/>
    </row>
    <row r="371" spans="2:25" ht="39" customHeight="1" x14ac:dyDescent="0.55000000000000004">
      <c r="B371" s="527" t="s">
        <v>505</v>
      </c>
      <c r="C371" s="527"/>
      <c r="D371" s="527"/>
      <c r="E371" s="527"/>
      <c r="F371" s="527"/>
      <c r="G371" s="527"/>
      <c r="H371" s="527"/>
      <c r="I371" s="527"/>
      <c r="J371" s="527"/>
      <c r="K371" s="527"/>
      <c r="L371" s="527"/>
      <c r="M371" s="527"/>
      <c r="N371" s="527"/>
      <c r="O371" s="527"/>
      <c r="P371" s="527"/>
      <c r="Q371" s="165"/>
      <c r="R371" s="165"/>
      <c r="S371" s="165"/>
      <c r="T371" s="4"/>
      <c r="U371" s="4"/>
    </row>
    <row r="372" spans="2:25" ht="37.5" customHeight="1" x14ac:dyDescent="0.3">
      <c r="B372" s="542" t="s">
        <v>465</v>
      </c>
      <c r="C372" s="542"/>
      <c r="D372" s="542"/>
      <c r="E372" s="542"/>
      <c r="F372" s="542"/>
      <c r="G372" s="542"/>
      <c r="H372" s="542"/>
      <c r="I372" s="542"/>
      <c r="J372" s="542"/>
      <c r="K372" s="542"/>
      <c r="L372" s="542"/>
      <c r="M372" s="542"/>
      <c r="N372" s="542"/>
      <c r="O372" s="542"/>
      <c r="P372" s="542"/>
      <c r="Q372" s="303"/>
      <c r="R372" s="303"/>
      <c r="S372" s="303"/>
      <c r="T372" s="4"/>
      <c r="U372" s="4"/>
      <c r="V372" s="30"/>
      <c r="W372" s="30"/>
    </row>
    <row r="373" spans="2:25" ht="12.75" customHeight="1" x14ac:dyDescent="0.3">
      <c r="B373" s="327"/>
      <c r="C373" s="330"/>
      <c r="D373" s="336"/>
      <c r="E373" s="337"/>
      <c r="F373" s="338"/>
      <c r="G373" s="336"/>
      <c r="H373" s="342"/>
      <c r="I373" s="343"/>
      <c r="J373" s="336"/>
      <c r="K373" s="342"/>
      <c r="L373" s="343"/>
      <c r="M373" s="336"/>
      <c r="N373" s="342"/>
      <c r="O373" s="343"/>
      <c r="P373" s="409"/>
      <c r="Q373" s="392"/>
      <c r="R373" s="392"/>
      <c r="S373" s="393" t="s">
        <v>213</v>
      </c>
      <c r="T373" s="4"/>
      <c r="U373" s="4"/>
      <c r="V373" s="30"/>
      <c r="W373" s="30"/>
    </row>
    <row r="374" spans="2:25" ht="12.75" customHeight="1" x14ac:dyDescent="0.3">
      <c r="B374" s="328" t="s">
        <v>0</v>
      </c>
      <c r="C374" s="331" t="s">
        <v>1</v>
      </c>
      <c r="D374" s="354" t="s">
        <v>506</v>
      </c>
      <c r="E374" s="257"/>
      <c r="F374" s="355"/>
      <c r="G374" s="354" t="s">
        <v>508</v>
      </c>
      <c r="H374" s="259"/>
      <c r="I374" s="356"/>
      <c r="J374" s="354" t="s">
        <v>287</v>
      </c>
      <c r="K374" s="259"/>
      <c r="L374" s="356"/>
      <c r="M374" s="354" t="s">
        <v>507</v>
      </c>
      <c r="N374" s="259"/>
      <c r="O374" s="356"/>
      <c r="P374" s="410" t="s">
        <v>9</v>
      </c>
      <c r="Q374" s="392"/>
      <c r="R374" s="392"/>
      <c r="S374" s="394" t="s">
        <v>9</v>
      </c>
      <c r="T374" s="4"/>
      <c r="U374" s="4"/>
      <c r="V374" s="519" t="s">
        <v>223</v>
      </c>
      <c r="W374" s="521" t="s">
        <v>4</v>
      </c>
    </row>
    <row r="375" spans="2:25" ht="12.75" customHeight="1" x14ac:dyDescent="0.3">
      <c r="B375" s="329"/>
      <c r="C375" s="332"/>
      <c r="D375" s="339"/>
      <c r="E375" s="340"/>
      <c r="F375" s="341"/>
      <c r="G375" s="339"/>
      <c r="H375" s="344"/>
      <c r="I375" s="345"/>
      <c r="J375" s="339"/>
      <c r="K375" s="344"/>
      <c r="L375" s="345"/>
      <c r="M375" s="339"/>
      <c r="N375" s="344"/>
      <c r="O375" s="345"/>
      <c r="P375" s="411"/>
      <c r="Q375" s="395"/>
      <c r="R375" s="395"/>
      <c r="S375" s="396"/>
      <c r="T375" s="4"/>
      <c r="U375" s="4"/>
      <c r="V375" s="520"/>
      <c r="W375" s="522"/>
    </row>
    <row r="376" spans="2:25" s="397" customFormat="1" ht="12" x14ac:dyDescent="0.3">
      <c r="B376" s="398">
        <v>1</v>
      </c>
      <c r="C376" s="305" t="s">
        <v>212</v>
      </c>
      <c r="D376" s="543">
        <v>20</v>
      </c>
      <c r="E376" s="543"/>
      <c r="F376" s="543"/>
      <c r="G376" s="541">
        <v>20</v>
      </c>
      <c r="H376" s="541"/>
      <c r="I376" s="541"/>
      <c r="J376" s="541">
        <v>0</v>
      </c>
      <c r="K376" s="541"/>
      <c r="L376" s="541"/>
      <c r="M376" s="541">
        <v>20</v>
      </c>
      <c r="N376" s="541"/>
      <c r="O376" s="541"/>
      <c r="P376" s="400">
        <f>SUM(D376:O376)</f>
        <v>60</v>
      </c>
      <c r="Y376" s="399"/>
    </row>
    <row r="377" spans="2:25" s="397" customFormat="1" ht="12" x14ac:dyDescent="0.3">
      <c r="B377" s="400">
        <f>B376+1</f>
        <v>2</v>
      </c>
      <c r="C377" s="305" t="s">
        <v>312</v>
      </c>
      <c r="D377" s="543">
        <v>14</v>
      </c>
      <c r="E377" s="543"/>
      <c r="F377" s="543"/>
      <c r="G377" s="541">
        <v>0</v>
      </c>
      <c r="H377" s="541"/>
      <c r="I377" s="541"/>
      <c r="J377" s="541">
        <v>20</v>
      </c>
      <c r="K377" s="541"/>
      <c r="L377" s="541"/>
      <c r="M377" s="541">
        <v>14</v>
      </c>
      <c r="N377" s="541"/>
      <c r="O377" s="541"/>
      <c r="P377" s="400">
        <f>SUM(D377:O377)</f>
        <v>48</v>
      </c>
      <c r="Y377" s="399"/>
    </row>
    <row r="378" spans="2:25" s="397" customFormat="1" ht="13" customHeight="1" x14ac:dyDescent="0.3">
      <c r="B378" s="400">
        <f>B377+1</f>
        <v>3</v>
      </c>
      <c r="C378" s="305" t="s">
        <v>242</v>
      </c>
      <c r="D378" s="543">
        <v>16</v>
      </c>
      <c r="E378" s="543"/>
      <c r="F378" s="543"/>
      <c r="G378" s="541">
        <v>16</v>
      </c>
      <c r="H378" s="541"/>
      <c r="I378" s="541"/>
      <c r="J378" s="541">
        <v>0</v>
      </c>
      <c r="K378" s="541"/>
      <c r="L378" s="541"/>
      <c r="M378" s="541">
        <v>16</v>
      </c>
      <c r="N378" s="541"/>
      <c r="O378" s="541"/>
      <c r="P378" s="400">
        <f>SUM(D378:O378)</f>
        <v>48</v>
      </c>
      <c r="Y378" s="399"/>
    </row>
    <row r="379" spans="2:25" s="401" customFormat="1" ht="12" x14ac:dyDescent="0.3">
      <c r="E379" s="154"/>
      <c r="H379" s="3"/>
      <c r="Y379" s="402"/>
    </row>
    <row r="380" spans="2:25" s="401" customFormat="1" ht="15.65" customHeight="1" x14ac:dyDescent="0.3">
      <c r="E380" s="154"/>
      <c r="H380" s="3"/>
      <c r="Y380" s="402"/>
    </row>
    <row r="381" spans="2:25" ht="39" customHeight="1" x14ac:dyDescent="0.55000000000000004">
      <c r="B381" s="527" t="s">
        <v>505</v>
      </c>
      <c r="C381" s="527"/>
      <c r="D381" s="527"/>
      <c r="E381" s="527"/>
      <c r="F381" s="527"/>
      <c r="G381" s="527"/>
      <c r="H381" s="527"/>
      <c r="I381" s="527"/>
      <c r="J381" s="527"/>
      <c r="K381" s="527"/>
      <c r="L381" s="527"/>
      <c r="M381" s="527"/>
      <c r="N381" s="527"/>
      <c r="O381" s="527"/>
      <c r="P381" s="527"/>
      <c r="Q381" s="165"/>
      <c r="R381" s="165"/>
      <c r="S381" s="165"/>
      <c r="T381" s="4"/>
      <c r="U381" s="4"/>
    </row>
    <row r="382" spans="2:25" ht="37.5" customHeight="1" x14ac:dyDescent="0.3">
      <c r="B382" s="542" t="s">
        <v>469</v>
      </c>
      <c r="C382" s="542"/>
      <c r="D382" s="542"/>
      <c r="E382" s="542"/>
      <c r="F382" s="542"/>
      <c r="G382" s="542"/>
      <c r="H382" s="542"/>
      <c r="I382" s="542"/>
      <c r="J382" s="542"/>
      <c r="K382" s="542"/>
      <c r="L382" s="542"/>
      <c r="M382" s="542"/>
      <c r="N382" s="542"/>
      <c r="O382" s="542"/>
      <c r="P382" s="542"/>
      <c r="Q382" s="303"/>
      <c r="R382" s="303"/>
      <c r="S382" s="303"/>
      <c r="T382" s="4"/>
      <c r="U382" s="4"/>
      <c r="V382" s="30"/>
      <c r="W382" s="30"/>
    </row>
    <row r="383" spans="2:25" ht="12.75" customHeight="1" x14ac:dyDescent="0.3">
      <c r="B383" s="327"/>
      <c r="C383" s="330"/>
      <c r="D383" s="336"/>
      <c r="E383" s="337"/>
      <c r="F383" s="338"/>
      <c r="G383" s="336"/>
      <c r="H383" s="342"/>
      <c r="I383" s="343"/>
      <c r="J383" s="336"/>
      <c r="K383" s="342"/>
      <c r="L383" s="343"/>
      <c r="M383" s="336"/>
      <c r="N383" s="342"/>
      <c r="O383" s="343"/>
      <c r="P383" s="409"/>
      <c r="Q383" s="392"/>
      <c r="R383" s="392"/>
      <c r="S383" s="393" t="s">
        <v>213</v>
      </c>
      <c r="T383" s="4"/>
      <c r="U383" s="4"/>
      <c r="V383" s="30"/>
      <c r="W383" s="30"/>
    </row>
    <row r="384" spans="2:25" ht="12.75" customHeight="1" x14ac:dyDescent="0.3">
      <c r="B384" s="328" t="s">
        <v>0</v>
      </c>
      <c r="C384" s="331" t="s">
        <v>1</v>
      </c>
      <c r="D384" s="354" t="s">
        <v>506</v>
      </c>
      <c r="E384" s="257"/>
      <c r="F384" s="355"/>
      <c r="G384" s="354" t="s">
        <v>508</v>
      </c>
      <c r="H384" s="259"/>
      <c r="I384" s="356"/>
      <c r="J384" s="354" t="s">
        <v>287</v>
      </c>
      <c r="K384" s="259"/>
      <c r="L384" s="356"/>
      <c r="M384" s="354" t="s">
        <v>507</v>
      </c>
      <c r="N384" s="259"/>
      <c r="O384" s="356"/>
      <c r="P384" s="410" t="s">
        <v>9</v>
      </c>
      <c r="Q384" s="392"/>
      <c r="R384" s="392"/>
      <c r="S384" s="394" t="s">
        <v>9</v>
      </c>
      <c r="T384" s="4"/>
      <c r="U384" s="4"/>
      <c r="V384" s="519" t="s">
        <v>223</v>
      </c>
      <c r="W384" s="521" t="s">
        <v>4</v>
      </c>
    </row>
    <row r="385" spans="2:25" ht="12.75" customHeight="1" x14ac:dyDescent="0.3">
      <c r="B385" s="329"/>
      <c r="C385" s="332"/>
      <c r="D385" s="339"/>
      <c r="E385" s="340"/>
      <c r="F385" s="341"/>
      <c r="G385" s="339"/>
      <c r="H385" s="344"/>
      <c r="I385" s="345"/>
      <c r="J385" s="339"/>
      <c r="K385" s="344"/>
      <c r="L385" s="345"/>
      <c r="M385" s="339"/>
      <c r="N385" s="344"/>
      <c r="O385" s="345"/>
      <c r="P385" s="411"/>
      <c r="Q385" s="395"/>
      <c r="R385" s="395"/>
      <c r="S385" s="396"/>
      <c r="T385" s="4"/>
      <c r="U385" s="4"/>
      <c r="V385" s="520"/>
      <c r="W385" s="522"/>
    </row>
    <row r="386" spans="2:25" s="397" customFormat="1" ht="12" x14ac:dyDescent="0.3">
      <c r="B386" s="400">
        <v>1</v>
      </c>
      <c r="C386" s="305" t="s">
        <v>243</v>
      </c>
      <c r="D386" s="544">
        <v>16</v>
      </c>
      <c r="E386" s="545"/>
      <c r="F386" s="546"/>
      <c r="G386" s="547">
        <v>16</v>
      </c>
      <c r="H386" s="548"/>
      <c r="I386" s="549"/>
      <c r="J386" s="547">
        <v>0</v>
      </c>
      <c r="K386" s="548"/>
      <c r="L386" s="549"/>
      <c r="M386" s="547">
        <v>20</v>
      </c>
      <c r="N386" s="548"/>
      <c r="O386" s="549"/>
      <c r="P386" s="400">
        <f>SUM(D386:O386)</f>
        <v>52</v>
      </c>
      <c r="Y386" s="399"/>
    </row>
    <row r="387" spans="2:25" s="397" customFormat="1" ht="13" customHeight="1" x14ac:dyDescent="0.3">
      <c r="B387" s="400">
        <v>2</v>
      </c>
      <c r="C387" s="305" t="s">
        <v>313</v>
      </c>
      <c r="D387" s="544">
        <v>14</v>
      </c>
      <c r="E387" s="545"/>
      <c r="F387" s="546"/>
      <c r="G387" s="547">
        <v>0</v>
      </c>
      <c r="H387" s="548"/>
      <c r="I387" s="549"/>
      <c r="J387" s="547">
        <v>20</v>
      </c>
      <c r="K387" s="548"/>
      <c r="L387" s="549"/>
      <c r="M387" s="547">
        <v>16</v>
      </c>
      <c r="N387" s="548"/>
      <c r="O387" s="549"/>
      <c r="P387" s="400">
        <f>SUM(D387:O387)</f>
        <v>50</v>
      </c>
      <c r="Y387" s="399"/>
    </row>
    <row r="390" spans="2:25" s="401" customFormat="1" ht="12" x14ac:dyDescent="0.3">
      <c r="B390" s="301" t="s">
        <v>509</v>
      </c>
      <c r="E390" s="154"/>
      <c r="H390" s="3"/>
      <c r="Y390" s="402"/>
    </row>
    <row r="391" spans="2:25" ht="12.75" customHeight="1" x14ac:dyDescent="0.3">
      <c r="B391" s="327"/>
      <c r="C391" s="330"/>
      <c r="D391" s="336"/>
      <c r="E391" s="337"/>
      <c r="F391" s="338"/>
      <c r="G391" s="336"/>
      <c r="H391" s="342"/>
      <c r="I391" s="343"/>
      <c r="J391" s="336"/>
      <c r="K391" s="342"/>
      <c r="L391" s="343"/>
      <c r="M391" s="336"/>
      <c r="N391" s="342"/>
      <c r="O391" s="343"/>
      <c r="P391" s="409"/>
      <c r="Q391" s="392"/>
      <c r="R391" s="392"/>
      <c r="S391" s="393" t="s">
        <v>213</v>
      </c>
      <c r="T391" s="4"/>
      <c r="U391" s="4"/>
      <c r="V391" s="30"/>
      <c r="W391" s="30"/>
    </row>
    <row r="392" spans="2:25" ht="12.75" customHeight="1" x14ac:dyDescent="0.3">
      <c r="B392" s="328" t="s">
        <v>0</v>
      </c>
      <c r="C392" s="331" t="s">
        <v>1</v>
      </c>
      <c r="D392" s="354" t="s">
        <v>506</v>
      </c>
      <c r="E392" s="257"/>
      <c r="F392" s="355"/>
      <c r="G392" s="354" t="s">
        <v>508</v>
      </c>
      <c r="H392" s="259"/>
      <c r="I392" s="356"/>
      <c r="J392" s="354" t="s">
        <v>287</v>
      </c>
      <c r="K392" s="259"/>
      <c r="L392" s="356"/>
      <c r="M392" s="354" t="s">
        <v>507</v>
      </c>
      <c r="N392" s="259"/>
      <c r="O392" s="356"/>
      <c r="P392" s="410" t="s">
        <v>9</v>
      </c>
      <c r="Q392" s="392"/>
      <c r="R392" s="392"/>
      <c r="S392" s="394" t="s">
        <v>9</v>
      </c>
      <c r="T392" s="4"/>
      <c r="U392" s="4"/>
      <c r="V392" s="519" t="s">
        <v>223</v>
      </c>
      <c r="W392" s="521" t="s">
        <v>4</v>
      </c>
    </row>
    <row r="393" spans="2:25" ht="12.75" customHeight="1" x14ac:dyDescent="0.3">
      <c r="B393" s="329"/>
      <c r="C393" s="332"/>
      <c r="D393" s="339"/>
      <c r="E393" s="340"/>
      <c r="F393" s="341"/>
      <c r="G393" s="339"/>
      <c r="H393" s="344"/>
      <c r="I393" s="345"/>
      <c r="J393" s="339"/>
      <c r="K393" s="344"/>
      <c r="L393" s="345"/>
      <c r="M393" s="339"/>
      <c r="N393" s="344"/>
      <c r="O393" s="345"/>
      <c r="P393" s="411"/>
      <c r="Q393" s="395"/>
      <c r="R393" s="395"/>
      <c r="S393" s="396"/>
      <c r="T393" s="4"/>
      <c r="U393" s="4"/>
      <c r="V393" s="520"/>
      <c r="W393" s="522"/>
    </row>
    <row r="394" spans="2:25" s="397" customFormat="1" ht="13" customHeight="1" x14ac:dyDescent="0.3">
      <c r="B394" s="400"/>
      <c r="C394" s="305" t="s">
        <v>372</v>
      </c>
      <c r="D394" s="550"/>
      <c r="E394" s="551"/>
      <c r="F394" s="552"/>
      <c r="G394" s="541">
        <v>20</v>
      </c>
      <c r="H394" s="541"/>
      <c r="I394" s="541"/>
      <c r="J394" s="550"/>
      <c r="K394" s="551"/>
      <c r="L394" s="552"/>
      <c r="M394" s="550"/>
      <c r="N394" s="551"/>
      <c r="O394" s="552"/>
      <c r="P394" s="400">
        <f>SUM(D394:O394)</f>
        <v>20</v>
      </c>
      <c r="Y394" s="399"/>
    </row>
    <row r="395" spans="2:25" s="397" customFormat="1" ht="12" x14ac:dyDescent="0.3">
      <c r="B395" s="398"/>
      <c r="C395" s="305" t="s">
        <v>297</v>
      </c>
      <c r="D395" s="544">
        <v>20</v>
      </c>
      <c r="E395" s="545"/>
      <c r="F395" s="546"/>
      <c r="G395" s="550"/>
      <c r="H395" s="551"/>
      <c r="I395" s="552"/>
      <c r="J395" s="550"/>
      <c r="K395" s="551"/>
      <c r="L395" s="552"/>
      <c r="M395" s="553"/>
      <c r="N395" s="554"/>
      <c r="O395" s="555"/>
      <c r="P395" s="400">
        <f>SUM(D395:O395)</f>
        <v>20</v>
      </c>
      <c r="Y395" s="399"/>
    </row>
    <row r="396" spans="2:25" s="397" customFormat="1" ht="13" customHeight="1" x14ac:dyDescent="0.3">
      <c r="B396" s="400"/>
      <c r="C396" s="305" t="s">
        <v>427</v>
      </c>
      <c r="D396" s="550"/>
      <c r="E396" s="551"/>
      <c r="F396" s="552"/>
      <c r="G396" s="550"/>
      <c r="H396" s="551"/>
      <c r="I396" s="552"/>
      <c r="J396" s="547">
        <v>0</v>
      </c>
      <c r="K396" s="548"/>
      <c r="L396" s="549"/>
      <c r="M396" s="550"/>
      <c r="N396" s="551"/>
      <c r="O396" s="552"/>
      <c r="P396" s="400">
        <f>SUM(D396:O396)</f>
        <v>0</v>
      </c>
      <c r="Y396" s="399"/>
    </row>
    <row r="397" spans="2:25" s="397" customFormat="1" ht="13" customHeight="1" x14ac:dyDescent="0.3">
      <c r="B397" s="400"/>
      <c r="C397" s="305" t="s">
        <v>456</v>
      </c>
      <c r="D397" s="550"/>
      <c r="E397" s="551"/>
      <c r="F397" s="552"/>
      <c r="G397" s="550"/>
      <c r="H397" s="551"/>
      <c r="I397" s="552"/>
      <c r="J397" s="550"/>
      <c r="K397" s="551"/>
      <c r="L397" s="552"/>
      <c r="M397" s="547">
        <v>0</v>
      </c>
      <c r="N397" s="548"/>
      <c r="O397" s="549"/>
      <c r="P397" s="400">
        <f>SUM(D397:O397)</f>
        <v>0</v>
      </c>
      <c r="Y397" s="399"/>
    </row>
  </sheetData>
  <autoFilter ref="C348:S348" xr:uid="{646F77C2-9B5F-4850-8025-230CB89969D0}">
    <sortState xmlns:xlrd2="http://schemas.microsoft.com/office/spreadsheetml/2017/richdata2" ref="C349:S358">
      <sortCondition descending="1" ref="S348"/>
    </sortState>
  </autoFilter>
  <sortState xmlns:xlrd2="http://schemas.microsoft.com/office/spreadsheetml/2017/richdata2" ref="C349:S356">
    <sortCondition descending="1" ref="S349:S356"/>
  </sortState>
  <mergeCells count="70">
    <mergeCell ref="D396:F396"/>
    <mergeCell ref="G396:I396"/>
    <mergeCell ref="J396:L396"/>
    <mergeCell ref="M396:O396"/>
    <mergeCell ref="D397:F397"/>
    <mergeCell ref="G397:I397"/>
    <mergeCell ref="J397:L397"/>
    <mergeCell ref="M397:O397"/>
    <mergeCell ref="D395:F395"/>
    <mergeCell ref="G395:I395"/>
    <mergeCell ref="J395:L395"/>
    <mergeCell ref="M395:O395"/>
    <mergeCell ref="V392:V393"/>
    <mergeCell ref="D394:F394"/>
    <mergeCell ref="G394:I394"/>
    <mergeCell ref="J394:L394"/>
    <mergeCell ref="M394:O394"/>
    <mergeCell ref="W392:W393"/>
    <mergeCell ref="D387:F387"/>
    <mergeCell ref="G387:I387"/>
    <mergeCell ref="J387:L387"/>
    <mergeCell ref="M387:O387"/>
    <mergeCell ref="B382:P382"/>
    <mergeCell ref="V384:V385"/>
    <mergeCell ref="W384:W385"/>
    <mergeCell ref="D386:F386"/>
    <mergeCell ref="G386:I386"/>
    <mergeCell ref="J386:L386"/>
    <mergeCell ref="M386:O386"/>
    <mergeCell ref="D378:F378"/>
    <mergeCell ref="G378:I378"/>
    <mergeCell ref="J378:L378"/>
    <mergeCell ref="M378:O378"/>
    <mergeCell ref="B381:P381"/>
    <mergeCell ref="V4:V5"/>
    <mergeCell ref="W4:W5"/>
    <mergeCell ref="V244:V245"/>
    <mergeCell ref="W244:W245"/>
    <mergeCell ref="V323:V324"/>
    <mergeCell ref="W323:W324"/>
    <mergeCell ref="V264:V265"/>
    <mergeCell ref="W264:W265"/>
    <mergeCell ref="V181:V182"/>
    <mergeCell ref="W181:W182"/>
    <mergeCell ref="V114:V115"/>
    <mergeCell ref="W114:W115"/>
    <mergeCell ref="V161:V162"/>
    <mergeCell ref="W161:W162"/>
    <mergeCell ref="V300:V301"/>
    <mergeCell ref="W300:W301"/>
    <mergeCell ref="V55:V56"/>
    <mergeCell ref="W55:W56"/>
    <mergeCell ref="V312:V313"/>
    <mergeCell ref="W312:W313"/>
    <mergeCell ref="V283:V284"/>
    <mergeCell ref="W283:W284"/>
    <mergeCell ref="J377:L377"/>
    <mergeCell ref="M377:O377"/>
    <mergeCell ref="V374:V375"/>
    <mergeCell ref="W374:W375"/>
    <mergeCell ref="V347:V348"/>
    <mergeCell ref="W347:W348"/>
    <mergeCell ref="B371:P371"/>
    <mergeCell ref="B372:P372"/>
    <mergeCell ref="D376:F376"/>
    <mergeCell ref="G376:I376"/>
    <mergeCell ref="J376:L376"/>
    <mergeCell ref="M376:O376"/>
    <mergeCell ref="D377:F377"/>
    <mergeCell ref="G377:I377"/>
  </mergeCells>
  <phoneticPr fontId="63" type="noConversion"/>
  <conditionalFormatting sqref="D57:D74 R57:U74 E59:E74 F68:Q74 J332:O332 E340:E341">
    <cfRule type="containsBlanks" dxfId="202" priority="199">
      <formula>LEN(TRIM(D57))=0</formula>
    </cfRule>
  </conditionalFormatting>
  <conditionalFormatting sqref="D76 D195:U196">
    <cfRule type="containsBlanks" dxfId="201" priority="446">
      <formula>LEN(TRIM(D76))=0</formula>
    </cfRule>
  </conditionalFormatting>
  <conditionalFormatting sqref="D116:D127 F116:U127 E118:E127">
    <cfRule type="containsBlanks" dxfId="200" priority="21">
      <formula>LEN(TRIM(D116))=0</formula>
    </cfRule>
  </conditionalFormatting>
  <conditionalFormatting sqref="D394">
    <cfRule type="containsBlanks" dxfId="199" priority="90">
      <formula>LEN(TRIM(D394))=0</formula>
    </cfRule>
  </conditionalFormatting>
  <conditionalFormatting sqref="D396:D397">
    <cfRule type="containsBlanks" dxfId="198" priority="108">
      <formula>LEN(TRIM(D396))=0</formula>
    </cfRule>
  </conditionalFormatting>
  <conditionalFormatting sqref="D325:F325">
    <cfRule type="containsBlanks" dxfId="197" priority="248">
      <formula>LEN(TRIM(D325))=0</formula>
    </cfRule>
  </conditionalFormatting>
  <conditionalFormatting sqref="D327:F328">
    <cfRule type="containsBlanks" dxfId="196" priority="58">
      <formula>LEN(TRIM(D327))=0</formula>
    </cfRule>
  </conditionalFormatting>
  <conditionalFormatting sqref="D163:I163 K163:U163 D164:U165">
    <cfRule type="containsBlanks" dxfId="195" priority="217">
      <formula>LEN(TRIM(D163))=0</formula>
    </cfRule>
  </conditionalFormatting>
  <conditionalFormatting sqref="D173:I173 K173:U173">
    <cfRule type="containsBlanks" dxfId="194" priority="155">
      <formula>LEN(TRIM(D173))=0</formula>
    </cfRule>
  </conditionalFormatting>
  <conditionalFormatting sqref="D194:I194 K194:U194">
    <cfRule type="containsBlanks" dxfId="193" priority="61">
      <formula>LEN(TRIM(D194))=0</formula>
    </cfRule>
  </conditionalFormatting>
  <conditionalFormatting sqref="D247:I248 K247:U248">
    <cfRule type="containsBlanks" dxfId="192" priority="212">
      <formula>LEN(TRIM(D247))=0</formula>
    </cfRule>
  </conditionalFormatting>
  <conditionalFormatting sqref="D266:I267 K266:O267 Q266:U267">
    <cfRule type="containsBlanks" dxfId="191" priority="211">
      <formula>LEN(TRIM(D266))=0</formula>
    </cfRule>
  </conditionalFormatting>
  <conditionalFormatting sqref="D285:I285 K285:L285 N285:O285 Q285:R285 T285:U285">
    <cfRule type="containsBlanks" dxfId="190" priority="210">
      <formula>LEN(TRIM(D285))=0</formula>
    </cfRule>
  </conditionalFormatting>
  <conditionalFormatting sqref="D293:L293 N293:Q293 R293:U294 D294:Q294">
    <cfRule type="containsBlanks" dxfId="189" priority="137">
      <formula>LEN(TRIM(D293))=0</formula>
    </cfRule>
  </conditionalFormatting>
  <conditionalFormatting sqref="D226:O227 Q226:R227">
    <cfRule type="containsBlanks" dxfId="188" priority="144">
      <formula>LEN(TRIM(D226))=0</formula>
    </cfRule>
  </conditionalFormatting>
  <conditionalFormatting sqref="D184:R184 T184:U184">
    <cfRule type="containsBlanks" dxfId="187" priority="215">
      <formula>LEN(TRIM(D184))=0</formula>
    </cfRule>
  </conditionalFormatting>
  <conditionalFormatting sqref="D6:U6 D7:Q16 R7:U19 D17:I17 K17:O17 Q17 D18:Q18 D19:I19 K19:Q19">
    <cfRule type="containsBlanks" dxfId="186" priority="2">
      <formula>LEN(TRIM(D6))=0</formula>
    </cfRule>
  </conditionalFormatting>
  <conditionalFormatting sqref="D20:U26">
    <cfRule type="containsBlanks" dxfId="185" priority="1">
      <formula>LEN(TRIM(D20))=0</formula>
    </cfRule>
  </conditionalFormatting>
  <conditionalFormatting sqref="D34:U45">
    <cfRule type="containsBlanks" dxfId="184" priority="23">
      <formula>LEN(TRIM(D34))=0</formula>
    </cfRule>
  </conditionalFormatting>
  <conditionalFormatting sqref="D87:U107">
    <cfRule type="containsBlanks" dxfId="183" priority="161">
      <formula>LEN(TRIM(D87))=0</formula>
    </cfRule>
  </conditionalFormatting>
  <conditionalFormatting sqref="D128:U134">
    <cfRule type="containsBlanks" dxfId="182" priority="15">
      <formula>LEN(TRIM(D128))=0</formula>
    </cfRule>
  </conditionalFormatting>
  <conditionalFormatting sqref="D143:U155">
    <cfRule type="containsBlanks" dxfId="181" priority="9">
      <formula>LEN(TRIM(D143))=0</formula>
    </cfRule>
  </conditionalFormatting>
  <conditionalFormatting sqref="D183:U183">
    <cfRule type="containsBlanks" dxfId="180" priority="41">
      <formula>LEN(TRIM(D183))=0</formula>
    </cfRule>
  </conditionalFormatting>
  <conditionalFormatting sqref="D185:U185">
    <cfRule type="containsBlanks" dxfId="179" priority="7">
      <formula>LEN(TRIM(D185))=0</formula>
    </cfRule>
  </conditionalFormatting>
  <conditionalFormatting sqref="D193:U193">
    <cfRule type="containsBlanks" dxfId="178" priority="150">
      <formula>LEN(TRIM(D193))=0</formula>
    </cfRule>
  </conditionalFormatting>
  <conditionalFormatting sqref="D205:U207">
    <cfRule type="containsBlanks" dxfId="177" priority="147">
      <formula>LEN(TRIM(D205))=0</formula>
    </cfRule>
  </conditionalFormatting>
  <conditionalFormatting sqref="D216:U218">
    <cfRule type="containsBlanks" dxfId="176" priority="146">
      <formula>LEN(TRIM(D216))=0</formula>
    </cfRule>
  </conditionalFormatting>
  <conditionalFormatting sqref="D235:U238">
    <cfRule type="containsBlanks" dxfId="175" priority="142">
      <formula>LEN(TRIM(D235))=0</formula>
    </cfRule>
  </conditionalFormatting>
  <conditionalFormatting sqref="D246:U246">
    <cfRule type="containsBlanks" dxfId="174" priority="139">
      <formula>LEN(TRIM(D246))=0</formula>
    </cfRule>
  </conditionalFormatting>
  <conditionalFormatting sqref="D257:U258">
    <cfRule type="containsBlanks" dxfId="173" priority="141">
      <formula>LEN(TRIM(D257))=0</formula>
    </cfRule>
  </conditionalFormatting>
  <conditionalFormatting sqref="D275:U277">
    <cfRule type="containsBlanks" dxfId="172" priority="138">
      <formula>LEN(TRIM(D275))=0</formula>
    </cfRule>
  </conditionalFormatting>
  <conditionalFormatting sqref="E57">
    <cfRule type="containsBlanks" dxfId="171" priority="336">
      <formula>LEN(TRIM(E57))=0</formula>
    </cfRule>
  </conditionalFormatting>
  <conditionalFormatting sqref="E116">
    <cfRule type="containsBlanks" dxfId="170" priority="22">
      <formula>LEN(TRIM(E116))=0</formula>
    </cfRule>
  </conditionalFormatting>
  <conditionalFormatting sqref="E326">
    <cfRule type="containsBlanks" dxfId="169" priority="40">
      <formula>LEN(TRIM(E326))=0</formula>
    </cfRule>
  </conditionalFormatting>
  <conditionalFormatting sqref="F67:I67">
    <cfRule type="containsBlanks" dxfId="168" priority="222">
      <formula>LEN(TRIM(F67))=0</formula>
    </cfRule>
  </conditionalFormatting>
  <conditionalFormatting sqref="F57:Q66 K67:O67 Q67">
    <cfRule type="containsBlanks" dxfId="167" priority="201">
      <formula>LEN(TRIM(F57))=0</formula>
    </cfRule>
  </conditionalFormatting>
  <conditionalFormatting sqref="G395:G397">
    <cfRule type="containsBlanks" dxfId="166" priority="101">
      <formula>LEN(TRIM(G395))=0</formula>
    </cfRule>
  </conditionalFormatting>
  <conditionalFormatting sqref="G314:S314">
    <cfRule type="containsBlanks" dxfId="165" priority="264">
      <formula>LEN(TRIM(G314))=0</formula>
    </cfRule>
  </conditionalFormatting>
  <conditionalFormatting sqref="G341:S341">
    <cfRule type="containsBlanks" dxfId="164" priority="125">
      <formula>LEN(TRIM(G341))=0</formula>
    </cfRule>
  </conditionalFormatting>
  <conditionalFormatting sqref="H325:H332 E329:E332">
    <cfRule type="containsBlanks" dxfId="163" priority="36">
      <formula>LEN(TRIM(E325))=0</formula>
    </cfRule>
  </conditionalFormatting>
  <conditionalFormatting sqref="H340 J340:S340">
    <cfRule type="containsBlanks" dxfId="162" priority="130">
      <formula>LEN(TRIM(H340))=0</formula>
    </cfRule>
  </conditionalFormatting>
  <conditionalFormatting sqref="J394:J395">
    <cfRule type="containsBlanks" dxfId="161" priority="89">
      <formula>LEN(TRIM(J394))=0</formula>
    </cfRule>
  </conditionalFormatting>
  <conditionalFormatting sqref="J397">
    <cfRule type="containsBlanks" dxfId="160" priority="106">
      <formula>LEN(TRIM(J397))=0</formula>
    </cfRule>
  </conditionalFormatting>
  <conditionalFormatting sqref="J330:M330">
    <cfRule type="containsBlanks" dxfId="159" priority="34">
      <formula>LEN(TRIM(J330))=0</formula>
    </cfRule>
  </conditionalFormatting>
  <conditionalFormatting sqref="K325:K329 K331">
    <cfRule type="containsBlanks" dxfId="158" priority="39">
      <formula>LEN(TRIM(K325))=0</formula>
    </cfRule>
  </conditionalFormatting>
  <conditionalFormatting sqref="M394">
    <cfRule type="containsBlanks" dxfId="157" priority="88">
      <formula>LEN(TRIM(M394))=0</formula>
    </cfRule>
  </conditionalFormatting>
  <conditionalFormatting sqref="M396">
    <cfRule type="containsBlanks" dxfId="156" priority="105">
      <formula>LEN(TRIM(M396))=0</formula>
    </cfRule>
  </conditionalFormatting>
  <conditionalFormatting sqref="M363:O363 D363:L365 Q363:Q365 S363:S365 N364 M365:O365">
    <cfRule type="containsBlanks" dxfId="155" priority="124">
      <formula>LEN(TRIM(D363))=0</formula>
    </cfRule>
  </conditionalFormatting>
  <conditionalFormatting sqref="N325:N331">
    <cfRule type="containsBlanks" dxfId="154" priority="33">
      <formula>LEN(TRIM(N325))=0</formula>
    </cfRule>
  </conditionalFormatting>
  <conditionalFormatting sqref="P184:P185">
    <cfRule type="containsBlanks" dxfId="153" priority="8">
      <formula>LEN(TRIM(P184))=0</formula>
    </cfRule>
  </conditionalFormatting>
  <conditionalFormatting sqref="P195">
    <cfRule type="containsBlanks" dxfId="152" priority="60">
      <formula>LEN(TRIM(P195))=0</formula>
    </cfRule>
  </conditionalFormatting>
  <conditionalFormatting sqref="P327:R328">
    <cfRule type="containsBlanks" dxfId="151" priority="54">
      <formula>LEN(TRIM(P327))=0</formula>
    </cfRule>
  </conditionalFormatting>
  <conditionalFormatting sqref="Q325">
    <cfRule type="containsBlanks" dxfId="150" priority="182">
      <formula>LEN(TRIM(Q325))=0</formula>
    </cfRule>
  </conditionalFormatting>
  <conditionalFormatting sqref="Q329 Q331:Q332">
    <cfRule type="containsBlanks" dxfId="149" priority="183">
      <formula>LEN(TRIM(Q329))=0</formula>
    </cfRule>
  </conditionalFormatting>
  <conditionalFormatting sqref="S302:S303">
    <cfRule type="containsBlanks" dxfId="148" priority="260">
      <formula>LEN(TRIM(S302))=0</formula>
    </cfRule>
  </conditionalFormatting>
  <conditionalFormatting sqref="S325:S332 O330">
    <cfRule type="containsBlanks" dxfId="147" priority="35">
      <formula>LEN(TRIM(O325))=0</formula>
    </cfRule>
  </conditionalFormatting>
  <conditionalFormatting sqref="S349:S353 N349:N354 H349:H355 Q349:Q355 E349:E356 K349:K356 P354 R354:S354 M355:O355 S355:S356 G356:I356 N356 P356:R356">
    <cfRule type="containsBlanks" dxfId="146" priority="281">
      <formula>LEN(TRIM(E349))=0</formula>
    </cfRule>
  </conditionalFormatting>
  <conditionalFormatting sqref="T226:U227">
    <cfRule type="containsBlanks" dxfId="145" priority="145">
      <formula>LEN(TRIM(T226))=0</formula>
    </cfRule>
  </conditionalFormatting>
  <printOptions horizontalCentered="1"/>
  <pageMargins left="0.27559055118110237" right="0.19685039370078741" top="0.74803149606299213" bottom="0.74803149606299213" header="0.31496062992125984" footer="0.31496062992125984"/>
  <pageSetup paperSize="9" scale="58" fitToHeight="0" orientation="portrait" verticalDpi="4294967293" r:id="rId1"/>
  <rowBreaks count="7" manualBreakCount="7">
    <brk id="50" max="16383" man="1"/>
    <brk id="110" min="1" max="20" man="1"/>
    <brk id="157" max="16383" man="1"/>
    <brk id="199" max="16383" man="1"/>
    <brk id="239" min="1" max="20" man="1"/>
    <brk id="295" min="1" max="20" man="1"/>
    <brk id="367" max="16383" man="1"/>
  </rowBreaks>
  <colBreaks count="1" manualBreakCount="1">
    <brk id="2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CA834-0CDA-4949-B104-2AAC9ECC4FB0}">
  <dimension ref="B1:AM452"/>
  <sheetViews>
    <sheetView tabSelected="1" showRuler="0" view="pageBreakPreview" topLeftCell="A320" zoomScaleNormal="100" zoomScaleSheetLayoutView="100" workbookViewId="0">
      <selection activeCell="B338" sqref="B338"/>
    </sheetView>
  </sheetViews>
  <sheetFormatPr baseColWidth="10" defaultColWidth="12" defaultRowHeight="10.5" x14ac:dyDescent="0.3"/>
  <cols>
    <col min="1" max="1" width="4.296875" style="130" customWidth="1"/>
    <col min="2" max="2" width="4.5" style="130" bestFit="1" customWidth="1"/>
    <col min="3" max="3" width="43.796875" style="130" customWidth="1"/>
    <col min="4" max="4" width="6.5" style="130" customWidth="1"/>
    <col min="5" max="5" width="5" style="130" customWidth="1"/>
    <col min="6" max="6" width="5.796875" style="130" customWidth="1"/>
    <col min="7" max="7" width="6" style="130" customWidth="1"/>
    <col min="8" max="8" width="5.796875" style="150" customWidth="1"/>
    <col min="9" max="17" width="5.796875" style="130" customWidth="1"/>
    <col min="18" max="18" width="6.296875" style="130" customWidth="1"/>
    <col min="19" max="19" width="6.19921875" style="130" customWidth="1"/>
    <col min="20" max="21" width="6.5" style="130" customWidth="1"/>
    <col min="22" max="22" width="6.296875" style="130" customWidth="1"/>
    <col min="23" max="23" width="6.796875" style="130" customWidth="1"/>
    <col min="24" max="24" width="8.69921875" style="130" customWidth="1"/>
    <col min="25" max="25" width="13" style="130" bestFit="1" customWidth="1"/>
    <col min="26" max="26" width="16" style="130" bestFit="1" customWidth="1"/>
    <col min="27" max="27" width="8.69921875" style="130" customWidth="1"/>
    <col min="28" max="28" width="8.69921875" style="261" customWidth="1"/>
    <col min="29" max="29" width="14.5" style="130" customWidth="1"/>
    <col min="30" max="31" width="8.5" style="130" customWidth="1"/>
    <col min="32" max="40" width="8.796875" style="130" customWidth="1"/>
    <col min="41" max="16384" width="12" style="130"/>
  </cols>
  <sheetData>
    <row r="1" spans="2:28" ht="39" customHeight="1" x14ac:dyDescent="0.55000000000000004">
      <c r="B1" s="164" t="s">
        <v>516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30" t="s">
        <v>561</v>
      </c>
    </row>
    <row r="2" spans="2:28" ht="37.5" customHeight="1" x14ac:dyDescent="0.3">
      <c r="B2" s="166" t="s">
        <v>224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30" t="s">
        <v>562</v>
      </c>
      <c r="Z2" s="30"/>
    </row>
    <row r="3" spans="2:28" ht="12.75" customHeight="1" x14ac:dyDescent="0.3">
      <c r="B3" s="162"/>
      <c r="C3" s="168"/>
      <c r="D3" s="161"/>
      <c r="E3" s="161"/>
      <c r="F3" s="222" t="s">
        <v>220</v>
      </c>
      <c r="G3" s="223"/>
      <c r="H3" s="224"/>
      <c r="I3" s="222" t="s">
        <v>663</v>
      </c>
      <c r="J3" s="225"/>
      <c r="K3" s="226"/>
      <c r="L3" s="222" t="s">
        <v>532</v>
      </c>
      <c r="M3" s="225"/>
      <c r="N3" s="226"/>
      <c r="O3" s="222" t="s">
        <v>526</v>
      </c>
      <c r="P3" s="225"/>
      <c r="Q3" s="226"/>
      <c r="R3" s="222" t="s">
        <v>287</v>
      </c>
      <c r="S3" s="225"/>
      <c r="T3" s="226"/>
      <c r="U3" s="413" t="s">
        <v>527</v>
      </c>
      <c r="V3" s="226"/>
      <c r="W3" s="226"/>
      <c r="X3" s="161" t="s">
        <v>213</v>
      </c>
      <c r="Y3" s="30"/>
      <c r="Z3" s="30"/>
    </row>
    <row r="4" spans="2:28" ht="12.75" customHeight="1" x14ac:dyDescent="0.3">
      <c r="B4" s="159" t="s">
        <v>0</v>
      </c>
      <c r="C4" s="170" t="s">
        <v>1</v>
      </c>
      <c r="D4" s="160" t="s">
        <v>2</v>
      </c>
      <c r="E4" s="160" t="s">
        <v>3</v>
      </c>
      <c r="F4" s="217" t="s">
        <v>523</v>
      </c>
      <c r="G4" s="218"/>
      <c r="H4" s="219"/>
      <c r="I4" s="217" t="s">
        <v>525</v>
      </c>
      <c r="J4" s="220"/>
      <c r="K4" s="221"/>
      <c r="L4" s="217" t="s">
        <v>664</v>
      </c>
      <c r="M4" s="220"/>
      <c r="N4" s="221"/>
      <c r="O4" s="217" t="s">
        <v>529</v>
      </c>
      <c r="P4" s="220"/>
      <c r="Q4" s="221"/>
      <c r="R4" s="217" t="s">
        <v>530</v>
      </c>
      <c r="S4" s="220"/>
      <c r="T4" s="221"/>
      <c r="U4" s="414" t="s">
        <v>528</v>
      </c>
      <c r="V4" s="255"/>
      <c r="W4" s="415"/>
      <c r="X4" s="160" t="s">
        <v>9</v>
      </c>
      <c r="Y4" s="519" t="s">
        <v>223</v>
      </c>
      <c r="Z4" s="521" t="s">
        <v>4</v>
      </c>
    </row>
    <row r="5" spans="2:28" ht="12.75" customHeight="1" thickBot="1" x14ac:dyDescent="0.35">
      <c r="B5" s="163"/>
      <c r="C5" s="169"/>
      <c r="D5" s="157"/>
      <c r="E5" s="476"/>
      <c r="F5" s="131" t="s">
        <v>33</v>
      </c>
      <c r="G5" s="131" t="s">
        <v>34</v>
      </c>
      <c r="H5" s="132" t="s">
        <v>35</v>
      </c>
      <c r="I5" s="131" t="s">
        <v>33</v>
      </c>
      <c r="J5" s="131" t="s">
        <v>34</v>
      </c>
      <c r="K5" s="132" t="s">
        <v>35</v>
      </c>
      <c r="L5" s="131" t="s">
        <v>33</v>
      </c>
      <c r="M5" s="131" t="s">
        <v>34</v>
      </c>
      <c r="N5" s="132" t="s">
        <v>35</v>
      </c>
      <c r="O5" s="131" t="s">
        <v>33</v>
      </c>
      <c r="P5" s="131" t="s">
        <v>34</v>
      </c>
      <c r="Q5" s="132" t="s">
        <v>35</v>
      </c>
      <c r="R5" s="131" t="s">
        <v>33</v>
      </c>
      <c r="S5" s="131" t="s">
        <v>34</v>
      </c>
      <c r="T5" s="132" t="s">
        <v>35</v>
      </c>
      <c r="U5" s="131" t="s">
        <v>33</v>
      </c>
      <c r="V5" s="131" t="s">
        <v>34</v>
      </c>
      <c r="W5" s="132" t="s">
        <v>35</v>
      </c>
      <c r="X5" s="157"/>
      <c r="Y5" s="520"/>
      <c r="Z5" s="522"/>
    </row>
    <row r="6" spans="2:28" ht="12.75" customHeight="1" thickBot="1" x14ac:dyDescent="0.35">
      <c r="B6" s="133">
        <v>1</v>
      </c>
      <c r="C6" s="142" t="s">
        <v>574</v>
      </c>
      <c r="D6" s="481">
        <f>IFERROR(VLOOKUP(C6,Tabla15[[Piloto]:[Puntos clase]],7, FALSE), " ")</f>
        <v>2</v>
      </c>
      <c r="E6" s="477" t="str">
        <f>LEFT(AB6,LEN(AB6)-2)</f>
        <v>2</v>
      </c>
      <c r="F6" s="475">
        <f>IFERROR(VLOOKUP(C6,'01_RS ALCARRIA'!$D$6:$M$36,10,FALSE),"")</f>
        <v>25</v>
      </c>
      <c r="G6" s="135">
        <f>IFERROR(VLOOKUP(C6,'01_RS ALCARRIA'!$D$6:$O$36,12,FALSE),"")</f>
        <v>10</v>
      </c>
      <c r="H6" s="138">
        <f>(F6+G6)*2</f>
        <v>70</v>
      </c>
      <c r="I6" s="135">
        <f>IFERROR(VLOOKUP(C6,'02_TCT GUADAMUR'!$D$6:$M$36,10,FALSE),"")</f>
        <v>17</v>
      </c>
      <c r="J6" s="135">
        <f>IFERROR(VLOOKUP(C6,'02_TCT GUADAMUR'!$D$6:$O$36,12,FALSE),"")</f>
        <v>6</v>
      </c>
      <c r="K6" s="138">
        <f t="shared" ref="K6:K11" si="0">(I6+J6)</f>
        <v>23</v>
      </c>
      <c r="L6" s="135">
        <f>IFERROR(VLOOKUP(C6,'03_TCT MAQUEDA'!$D$6:$M$36,10,FALSE),"")</f>
        <v>17</v>
      </c>
      <c r="M6" s="135">
        <f>IFERROR(VLOOKUP(C6,'03_TCT MAQUEDA'!$D$6:$O$36,12,FALSE),"")</f>
        <v>10</v>
      </c>
      <c r="N6" s="138">
        <f>(L6+M6)</f>
        <v>27</v>
      </c>
      <c r="O6" s="135"/>
      <c r="P6" s="135"/>
      <c r="Q6" s="138"/>
      <c r="R6" s="135"/>
      <c r="S6" s="135"/>
      <c r="T6" s="138"/>
      <c r="U6" s="135"/>
      <c r="V6" s="135"/>
      <c r="W6" s="138"/>
      <c r="X6" s="139">
        <f t="shared" ref="X6:X46" si="1">H6+K6+N6+Q6+T6+W6</f>
        <v>120</v>
      </c>
      <c r="Y6" s="140" t="str">
        <f>IF(Z6&gt;=3,"Sí","No")</f>
        <v>Sí</v>
      </c>
      <c r="Z6" s="141">
        <f>COUNTA(H6,K6,N6,Q6,T6,W6)</f>
        <v>3</v>
      </c>
      <c r="AB6" s="261" t="str">
        <f>IFERROR(VLOOKUP(C6,Tabla15[[Piloto]:[Puntos clase]],6, FALSE), " ")</f>
        <v>2RM</v>
      </c>
    </row>
    <row r="7" spans="2:28" ht="12.75" customHeight="1" x14ac:dyDescent="0.3">
      <c r="B7" s="133">
        <v>2</v>
      </c>
      <c r="C7" s="134" t="s">
        <v>576</v>
      </c>
      <c r="D7" s="482">
        <f>IFERROR(VLOOKUP(C7,Tabla15[[Piloto]:[Puntos clase]],7, FALSE), " ")</f>
        <v>2</v>
      </c>
      <c r="E7" s="483" t="str">
        <f>LEFT(AB7,LEN(AB7)-2)</f>
        <v>2</v>
      </c>
      <c r="F7" s="135">
        <f>IFERROR(VLOOKUP(C7,'01_RS ALCARRIA'!$D$6:$M$36,10,FALSE),"")</f>
        <v>20</v>
      </c>
      <c r="G7" s="135">
        <f>IFERROR(VLOOKUP(C7,'01_RS ALCARRIA'!$D$6:$O$36,12,FALSE),"")</f>
        <v>8</v>
      </c>
      <c r="H7" s="138">
        <f>(F7+G7)*2</f>
        <v>56</v>
      </c>
      <c r="I7" s="135">
        <f>IFERROR(VLOOKUP(C7,'02_TCT GUADAMUR'!$D$6:$M$36,10,FALSE),"")</f>
        <v>25</v>
      </c>
      <c r="J7" s="135">
        <f>IFERROR(VLOOKUP(C7,'02_TCT GUADAMUR'!$D$6:$O$36,12,FALSE),"")</f>
        <v>10</v>
      </c>
      <c r="K7" s="138">
        <f t="shared" si="0"/>
        <v>35</v>
      </c>
      <c r="L7" s="135">
        <f>IFERROR(VLOOKUP(C7,'03_TCT MAQUEDA'!$D$6:$M$36,10,FALSE),"")</f>
        <v>15</v>
      </c>
      <c r="M7" s="135">
        <f>IFERROR(VLOOKUP(C7,'03_TCT MAQUEDA'!$D$6:$O$36,12,FALSE),"")</f>
        <v>8</v>
      </c>
      <c r="N7" s="138">
        <f>(L7+M7)</f>
        <v>23</v>
      </c>
      <c r="O7" s="135"/>
      <c r="P7" s="135"/>
      <c r="Q7" s="138"/>
      <c r="R7" s="135"/>
      <c r="S7" s="135"/>
      <c r="T7" s="138"/>
      <c r="U7" s="135"/>
      <c r="V7" s="135"/>
      <c r="W7" s="138"/>
      <c r="X7" s="139">
        <f t="shared" si="1"/>
        <v>114</v>
      </c>
      <c r="Y7" s="140" t="str">
        <f t="shared" ref="Y7:Y39" si="2">IF(Z7&gt;=3,"Sí","No")</f>
        <v>Sí</v>
      </c>
      <c r="Z7" s="141">
        <f t="shared" ref="Z7:Z39" si="3">COUNTA(H7,K7,N7,Q7,T7,W7)</f>
        <v>3</v>
      </c>
      <c r="AB7" s="261" t="str">
        <f>IFERROR(VLOOKUP(C7,Tabla15[[Piloto]:[Puntos clase]],6, FALSE), " ")</f>
        <v>2RM</v>
      </c>
    </row>
    <row r="8" spans="2:28" ht="12.75" customHeight="1" x14ac:dyDescent="0.3">
      <c r="B8" s="133">
        <v>3</v>
      </c>
      <c r="C8" s="134" t="s">
        <v>368</v>
      </c>
      <c r="D8" s="482">
        <f>IFERROR(VLOOKUP(C8,Tabla15[[Piloto]:[Puntos clase]],7, FALSE), " ")</f>
        <v>3</v>
      </c>
      <c r="E8" s="482" t="str">
        <f>LEFT(AB8,LEN(AB8)-2)</f>
        <v>2</v>
      </c>
      <c r="F8" s="135">
        <f>IFERROR(VLOOKUP(C8,'01_RS ALCARRIA'!$D$6:$M$36,10,FALSE),"")</f>
        <v>10</v>
      </c>
      <c r="G8" s="135">
        <f>IFERROR(VLOOKUP(C8,'01_RS ALCARRIA'!$D$6:$O$36,12,FALSE),"")</f>
        <v>10</v>
      </c>
      <c r="H8" s="138">
        <f>(F8+G8)*2</f>
        <v>40</v>
      </c>
      <c r="I8" s="135">
        <f>IFERROR(VLOOKUP(C8,'02_TCT GUADAMUR'!$D$6:$M$36,10,FALSE),"")</f>
        <v>10</v>
      </c>
      <c r="J8" s="135">
        <f>IFERROR(VLOOKUP(C8,'02_TCT GUADAMUR'!$D$6:$O$36,12,FALSE),"")</f>
        <v>8</v>
      </c>
      <c r="K8" s="138">
        <f t="shared" si="0"/>
        <v>18</v>
      </c>
      <c r="L8" s="135">
        <f>IFERROR(VLOOKUP(C8,'03_TCT MAQUEDA'!$D$6:$M$36,10,FALSE),"")</f>
        <v>8</v>
      </c>
      <c r="M8" s="135">
        <f>IFERROR(VLOOKUP(C8,'03_TCT MAQUEDA'!$D$6:$O$36,12,FALSE),"")</f>
        <v>10</v>
      </c>
      <c r="N8" s="138">
        <f>(L8+M8)</f>
        <v>18</v>
      </c>
      <c r="O8" s="135"/>
      <c r="P8" s="135"/>
      <c r="Q8" s="138"/>
      <c r="R8" s="135"/>
      <c r="S8" s="135"/>
      <c r="T8" s="138"/>
      <c r="U8" s="135"/>
      <c r="V8" s="135"/>
      <c r="W8" s="138"/>
      <c r="X8" s="139">
        <f t="shared" si="1"/>
        <v>76</v>
      </c>
      <c r="Y8" s="140" t="str">
        <f t="shared" si="2"/>
        <v>Sí</v>
      </c>
      <c r="Z8" s="141">
        <f t="shared" si="3"/>
        <v>3</v>
      </c>
      <c r="AB8" s="261" t="str">
        <f>IFERROR(VLOOKUP(C8,Tabla15[[Piloto]:[Puntos clase]],6, FALSE), " ")</f>
        <v>2RM</v>
      </c>
    </row>
    <row r="9" spans="2:28" ht="12.75" customHeight="1" x14ac:dyDescent="0.3">
      <c r="B9" s="133">
        <v>4</v>
      </c>
      <c r="C9" s="134" t="s">
        <v>174</v>
      </c>
      <c r="D9" s="482">
        <f>IFERROR(VLOOKUP(C9,Tabla15[[Piloto]:[Puntos clase]],7, FALSE), " ")</f>
        <v>1</v>
      </c>
      <c r="E9" s="482" t="str">
        <f>LEFT(AB9,LEN(AB9)-2)</f>
        <v>4</v>
      </c>
      <c r="F9" s="135">
        <f>IFERROR(VLOOKUP(C9,'01_RS ALCARRIA'!$D$6:$M$36,10,FALSE),"")</f>
        <v>12</v>
      </c>
      <c r="G9" s="284">
        <f>IFERROR(VLOOKUP(C9,'01_RS ALCARRIA'!$D$6:$O$36,12,FALSE),"")/2</f>
        <v>4</v>
      </c>
      <c r="H9" s="138">
        <f>(F9+G9)*2</f>
        <v>32</v>
      </c>
      <c r="I9" s="135">
        <f>IFERROR(VLOOKUP(C9,'02_TCT GUADAMUR'!$D$6:$M$36,10,FALSE),"")</f>
        <v>15</v>
      </c>
      <c r="J9" s="135">
        <f>IFERROR(VLOOKUP(C9,'02_TCT GUADAMUR'!$D$6:$O$36,12,FALSE),"")</f>
        <v>10</v>
      </c>
      <c r="K9" s="138">
        <f t="shared" si="0"/>
        <v>25</v>
      </c>
      <c r="L9" s="135">
        <v>0</v>
      </c>
      <c r="M9" s="135">
        <v>0</v>
      </c>
      <c r="N9" s="138">
        <f>(L9+M9)</f>
        <v>0</v>
      </c>
      <c r="O9" s="135"/>
      <c r="P9" s="135"/>
      <c r="Q9" s="138"/>
      <c r="R9" s="135"/>
      <c r="S9" s="135"/>
      <c r="T9" s="138"/>
      <c r="U9" s="135"/>
      <c r="V9" s="135"/>
      <c r="W9" s="138"/>
      <c r="X9" s="139">
        <f t="shared" si="1"/>
        <v>57</v>
      </c>
      <c r="Y9" s="140" t="str">
        <f t="shared" si="2"/>
        <v>Sí</v>
      </c>
      <c r="Z9" s="141">
        <f t="shared" si="3"/>
        <v>3</v>
      </c>
      <c r="AB9" s="261" t="str">
        <f>IFERROR(VLOOKUP(C9,Tabla15[[Piloto]:[Puntos clase]],6, FALSE), " ")</f>
        <v>4RM</v>
      </c>
    </row>
    <row r="10" spans="2:28" ht="12.75" customHeight="1" x14ac:dyDescent="0.3">
      <c r="B10" s="133">
        <v>5</v>
      </c>
      <c r="C10" s="142" t="s">
        <v>597</v>
      </c>
      <c r="D10" s="482">
        <f>IFERROR(VLOOKUP(C10,Tabla15[[Piloto]:[Puntos clase]],7, FALSE), " ")</f>
        <v>5</v>
      </c>
      <c r="E10" s="482" t="str">
        <f>LEFT(AB10,LEN(AB10)-2)</f>
        <v>2</v>
      </c>
      <c r="F10" s="135">
        <f>IFERROR(VLOOKUP(C10,'01_RS ALCARRIA'!$D$6:$M$36,10,FALSE),"")</f>
        <v>4</v>
      </c>
      <c r="G10" s="135">
        <f>IFERROR(VLOOKUP(C10,'01_RS ALCARRIA'!$D$6:$O$36,12,FALSE),"")</f>
        <v>10</v>
      </c>
      <c r="H10" s="138">
        <f>(F10+G10)*2</f>
        <v>28</v>
      </c>
      <c r="I10" s="135">
        <f>IFERROR(VLOOKUP(C10,'02_TCT GUADAMUR'!$D$6:$M$36,10,FALSE),"")</f>
        <v>8</v>
      </c>
      <c r="J10" s="135">
        <f>IFERROR(VLOOKUP(C10,'02_TCT GUADAMUR'!$D$6:$O$36,12,FALSE),"")</f>
        <v>10</v>
      </c>
      <c r="K10" s="138">
        <f t="shared" si="0"/>
        <v>18</v>
      </c>
      <c r="L10" s="135"/>
      <c r="M10" s="135"/>
      <c r="N10" s="138"/>
      <c r="O10" s="135"/>
      <c r="P10" s="135"/>
      <c r="Q10" s="138"/>
      <c r="R10" s="135"/>
      <c r="S10" s="135"/>
      <c r="T10" s="138"/>
      <c r="U10" s="135"/>
      <c r="V10" s="135"/>
      <c r="W10" s="138"/>
      <c r="X10" s="139">
        <f t="shared" si="1"/>
        <v>46</v>
      </c>
      <c r="Y10" s="140" t="str">
        <f t="shared" si="2"/>
        <v>No</v>
      </c>
      <c r="Z10" s="141">
        <f t="shared" si="3"/>
        <v>2</v>
      </c>
      <c r="AB10" s="261" t="str">
        <f>IFERROR(VLOOKUP(C10,Tabla15[[Piloto]:[Puntos clase]],6, FALSE), " ")</f>
        <v>2RM</v>
      </c>
    </row>
    <row r="11" spans="2:28" ht="12.75" customHeight="1" x14ac:dyDescent="0.3">
      <c r="B11" s="133">
        <v>5</v>
      </c>
      <c r="C11" s="134" t="s">
        <v>668</v>
      </c>
      <c r="D11" s="482">
        <v>2</v>
      </c>
      <c r="E11" s="482">
        <v>2</v>
      </c>
      <c r="F11" s="135"/>
      <c r="G11" s="135"/>
      <c r="H11" s="138"/>
      <c r="I11" s="135">
        <f>IFERROR(VLOOKUP(C11,'02_TCT GUADAMUR'!$D$6:$M$36,10,FALSE),"")</f>
        <v>20</v>
      </c>
      <c r="J11" s="135">
        <f>IFERROR(VLOOKUP(C11,'02_TCT GUADAMUR'!$D$6:$O$36,12,FALSE),"")</f>
        <v>8</v>
      </c>
      <c r="K11" s="138">
        <f t="shared" si="0"/>
        <v>28</v>
      </c>
      <c r="L11" s="135">
        <f>IFERROR(VLOOKUP(C11,'03_TCT MAQUEDA'!$D$6:$M$36,10,FALSE),"")</f>
        <v>12</v>
      </c>
      <c r="M11" s="135">
        <f>IFERROR(VLOOKUP(C11,'03_TCT MAQUEDA'!$D$6:$O$36,12,FALSE),"")</f>
        <v>6</v>
      </c>
      <c r="N11" s="138">
        <f>(L11+M11)</f>
        <v>18</v>
      </c>
      <c r="O11" s="135"/>
      <c r="P11" s="135"/>
      <c r="Q11" s="138"/>
      <c r="R11" s="135"/>
      <c r="S11" s="135"/>
      <c r="T11" s="138"/>
      <c r="U11" s="135"/>
      <c r="V11" s="135"/>
      <c r="W11" s="138"/>
      <c r="X11" s="139">
        <f t="shared" si="1"/>
        <v>46</v>
      </c>
      <c r="Y11" s="140" t="str">
        <f t="shared" si="2"/>
        <v>No</v>
      </c>
      <c r="Z11" s="141">
        <f t="shared" si="3"/>
        <v>2</v>
      </c>
      <c r="AB11" s="261" t="str">
        <f>IFERROR(VLOOKUP(C11,Tabla15[[Piloto]:[Puntos clase]],6, FALSE), " ")</f>
        <v xml:space="preserve"> </v>
      </c>
    </row>
    <row r="12" spans="2:28" ht="12.75" customHeight="1" x14ac:dyDescent="0.3">
      <c r="B12" s="133">
        <v>7</v>
      </c>
      <c r="C12" s="142" t="s">
        <v>654</v>
      </c>
      <c r="D12" s="482">
        <f>IFERROR(VLOOKUP(C12,Tabla15[[Piloto]:[Puntos clase]],7, FALSE), " ")</f>
        <v>1</v>
      </c>
      <c r="E12" s="482" t="str">
        <f>LEFT(AB12,LEN(AB12)-2)</f>
        <v>4</v>
      </c>
      <c r="F12" s="135">
        <f>IFERROR(VLOOKUP(C12,'01_RS ALCARRIA'!$D$6:$M$36,10,FALSE),"")</f>
        <v>17</v>
      </c>
      <c r="G12" s="284">
        <f>IFERROR(VLOOKUP(C12,'01_RS ALCARRIA'!$D$6:$O$36,12,FALSE),"")/2</f>
        <v>5</v>
      </c>
      <c r="H12" s="138">
        <f>(F12+G12)*2</f>
        <v>44</v>
      </c>
      <c r="I12" s="135"/>
      <c r="J12" s="135"/>
      <c r="K12" s="138"/>
      <c r="L12" s="135"/>
      <c r="M12" s="135"/>
      <c r="N12" s="138"/>
      <c r="O12" s="135"/>
      <c r="P12" s="135"/>
      <c r="Q12" s="138"/>
      <c r="R12" s="135"/>
      <c r="S12" s="135"/>
      <c r="T12" s="138"/>
      <c r="U12" s="135"/>
      <c r="V12" s="135"/>
      <c r="W12" s="138"/>
      <c r="X12" s="139">
        <f t="shared" si="1"/>
        <v>44</v>
      </c>
      <c r="Y12" s="140" t="str">
        <f t="shared" si="2"/>
        <v>No</v>
      </c>
      <c r="Z12" s="141">
        <f t="shared" si="3"/>
        <v>1</v>
      </c>
      <c r="AB12" s="261" t="str">
        <f>IFERROR(VLOOKUP(C12,Tabla15[[Piloto]:[Puntos clase]],6, FALSE), " ")</f>
        <v>4RM</v>
      </c>
    </row>
    <row r="13" spans="2:28" ht="12.75" customHeight="1" x14ac:dyDescent="0.3">
      <c r="B13" s="133">
        <v>8</v>
      </c>
      <c r="C13" s="142" t="s">
        <v>585</v>
      </c>
      <c r="D13" s="482">
        <v>2</v>
      </c>
      <c r="E13" s="482">
        <v>2</v>
      </c>
      <c r="F13" s="135">
        <f>IFERROR(VLOOKUP(C13,'01_RS ALCARRIA'!$D$6:$M$36,10,FALSE),"")</f>
        <v>15</v>
      </c>
      <c r="G13" s="135">
        <f>IFERROR(VLOOKUP(C13,'01_RS ALCARRIA'!$D$6:$O$36,12,FALSE),"")</f>
        <v>6</v>
      </c>
      <c r="H13" s="138">
        <f>(F13+G13)*2</f>
        <v>42</v>
      </c>
      <c r="I13" s="135"/>
      <c r="J13" s="135"/>
      <c r="K13" s="138"/>
      <c r="L13" s="135"/>
      <c r="M13" s="135"/>
      <c r="N13" s="138"/>
      <c r="O13" s="135"/>
      <c r="P13" s="135"/>
      <c r="Q13" s="135"/>
      <c r="R13" s="138"/>
      <c r="S13" s="135"/>
      <c r="T13" s="138"/>
      <c r="U13" s="135"/>
      <c r="V13" s="135"/>
      <c r="W13" s="138"/>
      <c r="X13" s="139">
        <f t="shared" si="1"/>
        <v>42</v>
      </c>
      <c r="Y13" s="140" t="str">
        <f t="shared" si="2"/>
        <v>No</v>
      </c>
      <c r="Z13" s="141">
        <f t="shared" si="3"/>
        <v>1</v>
      </c>
      <c r="AB13" s="261" t="str">
        <f>IFERROR(VLOOKUP(C13,Tabla15[[Piloto]:[Puntos clase]],6, FALSE), " ")</f>
        <v>2RM</v>
      </c>
    </row>
    <row r="14" spans="2:28" ht="12.75" customHeight="1" x14ac:dyDescent="0.3">
      <c r="B14" s="133">
        <v>8</v>
      </c>
      <c r="C14" s="155" t="s">
        <v>283</v>
      </c>
      <c r="D14" s="482">
        <f>IFERROR(VLOOKUP(C14,Tabla15[[Piloto]:[Puntos clase]],7, FALSE), " ")</f>
        <v>4</v>
      </c>
      <c r="E14" s="482" t="str">
        <f>LEFT(AB14,LEN(AB14)-2)</f>
        <v>2</v>
      </c>
      <c r="F14" s="135">
        <f>IFERROR(VLOOKUP(C14,'01_RS ALCARRIA'!$D$6:$M$36,10,FALSE),"")</f>
        <v>3</v>
      </c>
      <c r="G14" s="135">
        <f>IFERROR(VLOOKUP(C14,'01_RS ALCARRIA'!$D$6:$O$36,12,FALSE),"")</f>
        <v>10</v>
      </c>
      <c r="H14" s="138">
        <f>(F14+G14)*2</f>
        <v>26</v>
      </c>
      <c r="I14" s="135">
        <f>IFERROR(VLOOKUP(C14,'02_TCT GUADAMUR'!$D$6:$M$36,10,FALSE),"")</f>
        <v>6</v>
      </c>
      <c r="J14" s="135">
        <f>IFERROR(VLOOKUP(C14,'02_TCT GUADAMUR'!$D$6:$O$36,12,FALSE),"")</f>
        <v>10</v>
      </c>
      <c r="K14" s="138">
        <f>(I14+J14)</f>
        <v>16</v>
      </c>
      <c r="L14" s="135"/>
      <c r="M14" s="135"/>
      <c r="N14" s="138"/>
      <c r="O14" s="135"/>
      <c r="P14" s="135"/>
      <c r="Q14" s="138"/>
      <c r="R14" s="135"/>
      <c r="S14" s="135"/>
      <c r="T14" s="138"/>
      <c r="U14" s="135"/>
      <c r="V14" s="135"/>
      <c r="W14" s="138"/>
      <c r="X14" s="139">
        <f t="shared" si="1"/>
        <v>42</v>
      </c>
      <c r="Y14" s="140" t="str">
        <f t="shared" si="2"/>
        <v>No</v>
      </c>
      <c r="Z14" s="141">
        <f t="shared" si="3"/>
        <v>2</v>
      </c>
      <c r="AB14" s="261" t="str">
        <f>IFERROR(VLOOKUP(C14,Tabla15[[Piloto]:[Puntos clase]],6, FALSE), " ")</f>
        <v>2RM</v>
      </c>
    </row>
    <row r="15" spans="2:28" ht="12.75" customHeight="1" x14ac:dyDescent="0.3">
      <c r="B15" s="133">
        <v>8</v>
      </c>
      <c r="C15" s="142" t="s">
        <v>332</v>
      </c>
      <c r="D15" s="482">
        <f>IFERROR(VLOOKUP(C15,Tabla15[[Piloto]:[Puntos clase]],7, FALSE), " ")</f>
        <v>4</v>
      </c>
      <c r="E15" s="482" t="str">
        <f>LEFT(AB15,LEN(AB15)-2)</f>
        <v>2</v>
      </c>
      <c r="F15" s="135">
        <f>IFERROR(VLOOKUP(C15,'01_RS ALCARRIA'!$D$6:$M$36,10,FALSE),"")</f>
        <v>2</v>
      </c>
      <c r="G15" s="135">
        <f>IFERROR(VLOOKUP(C15,'01_RS ALCARRIA'!$D$6:$O$36,12,FALSE),"")</f>
        <v>8</v>
      </c>
      <c r="H15" s="138">
        <f>(F15+G15)*2</f>
        <v>20</v>
      </c>
      <c r="I15" s="135">
        <f>IFERROR(VLOOKUP(C15,'02_TCT GUADAMUR'!$D$6:$M$36,10,FALSE),"")</f>
        <v>1</v>
      </c>
      <c r="J15" s="135">
        <f>IFERROR(VLOOKUP(C15,'02_TCT GUADAMUR'!$D$6:$O$36,12,FALSE),"")</f>
        <v>8</v>
      </c>
      <c r="K15" s="138">
        <f>(I15+J15)</f>
        <v>9</v>
      </c>
      <c r="L15" s="135">
        <f>IFERROR(VLOOKUP(C15,'03_TCT MAQUEDA'!$D$6:$M$36,10,FALSE),"")</f>
        <v>5</v>
      </c>
      <c r="M15" s="135">
        <f>IFERROR(VLOOKUP(C15,'03_TCT MAQUEDA'!$D$6:$O$36,12,FALSE),"")</f>
        <v>8</v>
      </c>
      <c r="N15" s="138">
        <f>(L15+M15)</f>
        <v>13</v>
      </c>
      <c r="O15" s="135"/>
      <c r="P15" s="135"/>
      <c r="Q15" s="138"/>
      <c r="R15" s="135"/>
      <c r="S15" s="135"/>
      <c r="T15" s="138"/>
      <c r="U15" s="135"/>
      <c r="V15" s="135"/>
      <c r="W15" s="138"/>
      <c r="X15" s="139">
        <f t="shared" si="1"/>
        <v>42</v>
      </c>
      <c r="Y15" s="140" t="str">
        <f t="shared" si="2"/>
        <v>Sí</v>
      </c>
      <c r="Z15" s="141">
        <f t="shared" si="3"/>
        <v>3</v>
      </c>
      <c r="AB15" s="261" t="str">
        <f>IFERROR(VLOOKUP(C15,Tabla15[[Piloto]:[Puntos clase]],6, FALSE), " ")</f>
        <v>2RM</v>
      </c>
    </row>
    <row r="16" spans="2:28" ht="12.75" customHeight="1" x14ac:dyDescent="0.3">
      <c r="B16" s="133">
        <v>11</v>
      </c>
      <c r="C16" s="142" t="s">
        <v>595</v>
      </c>
      <c r="D16" s="482">
        <f>IFERROR(VLOOKUP(C16,Tabla15[[Piloto]:[Puntos clase]],7, FALSE), " ")</f>
        <v>3</v>
      </c>
      <c r="E16" s="482" t="str">
        <f>LEFT(AB16,LEN(AB16)-2)</f>
        <v>2</v>
      </c>
      <c r="F16" s="135">
        <f>IFERROR(VLOOKUP(C16,'01_RS ALCARRIA'!$D$6:$M$36,10,FALSE),"")</f>
        <v>5</v>
      </c>
      <c r="G16" s="135">
        <f>IFERROR(VLOOKUP(C16,'01_RS ALCARRIA'!$D$6:$O$36,12,FALSE),"")</f>
        <v>5</v>
      </c>
      <c r="H16" s="138">
        <f>(F16+G16)*2</f>
        <v>20</v>
      </c>
      <c r="I16" s="135">
        <f>IFERROR(VLOOKUP(C16,'02_TCT GUADAMUR'!$D$6:$M$36,10,FALSE),"")</f>
        <v>3</v>
      </c>
      <c r="J16" s="135">
        <f>IFERROR(VLOOKUP(C16,'02_TCT GUADAMUR'!$D$6:$O$36,12,FALSE),"")</f>
        <v>5</v>
      </c>
      <c r="K16" s="138">
        <f>(I16+J16)</f>
        <v>8</v>
      </c>
      <c r="L16" s="135">
        <f>IFERROR(VLOOKUP(C16,'03_TCT MAQUEDA'!$D$6:$M$36,10,FALSE),"")</f>
        <v>2</v>
      </c>
      <c r="M16" s="135">
        <f>IFERROR(VLOOKUP(C16,'03_TCT MAQUEDA'!$D$6:$O$36,12,FALSE),"")</f>
        <v>6</v>
      </c>
      <c r="N16" s="138">
        <f>(L16+M16)</f>
        <v>8</v>
      </c>
      <c r="O16" s="135"/>
      <c r="P16" s="135"/>
      <c r="Q16" s="138"/>
      <c r="R16" s="135"/>
      <c r="S16" s="135"/>
      <c r="T16" s="138"/>
      <c r="U16" s="135"/>
      <c r="V16" s="135"/>
      <c r="W16" s="138"/>
      <c r="X16" s="139">
        <f t="shared" si="1"/>
        <v>36</v>
      </c>
      <c r="Y16" s="140" t="str">
        <f t="shared" si="2"/>
        <v>Sí</v>
      </c>
      <c r="Z16" s="141">
        <f t="shared" si="3"/>
        <v>3</v>
      </c>
      <c r="AB16" s="261" t="str">
        <f>IFERROR(VLOOKUP(C16,Tabla15[[Piloto]:[Puntos clase]],6, FALSE), " ")</f>
        <v>2RM</v>
      </c>
    </row>
    <row r="17" spans="2:28" ht="12.75" customHeight="1" x14ac:dyDescent="0.3">
      <c r="B17" s="133">
        <v>12</v>
      </c>
      <c r="C17" s="142" t="s">
        <v>695</v>
      </c>
      <c r="D17" s="227">
        <v>1</v>
      </c>
      <c r="E17" s="227">
        <v>4</v>
      </c>
      <c r="F17" s="135"/>
      <c r="G17" s="135"/>
      <c r="H17" s="138"/>
      <c r="I17" s="135"/>
      <c r="J17" s="135"/>
      <c r="K17" s="138"/>
      <c r="L17" s="135">
        <f>IFERROR(VLOOKUP(C17,'03_TCT MAQUEDA'!$D$6:$M$36,10,FALSE),"")</f>
        <v>25</v>
      </c>
      <c r="M17" s="135">
        <f>IFERROR(VLOOKUP(C17,'03_TCT MAQUEDA'!$D$6:$O$36,12,FALSE),"")</f>
        <v>10</v>
      </c>
      <c r="N17" s="138">
        <f>(L17+M17)</f>
        <v>35</v>
      </c>
      <c r="O17" s="135"/>
      <c r="P17" s="135"/>
      <c r="Q17" s="138"/>
      <c r="R17" s="135"/>
      <c r="S17" s="135"/>
      <c r="T17" s="138"/>
      <c r="U17" s="135"/>
      <c r="V17" s="135"/>
      <c r="W17" s="138"/>
      <c r="X17" s="139">
        <f t="shared" si="1"/>
        <v>35</v>
      </c>
      <c r="Y17" s="140" t="str">
        <f t="shared" si="2"/>
        <v>No</v>
      </c>
      <c r="Z17" s="141">
        <f t="shared" si="3"/>
        <v>1</v>
      </c>
      <c r="AB17" s="261" t="str">
        <f>IFERROR(VLOOKUP(C17,Tabla15[[Piloto]:[Puntos clase]],6, FALSE), " ")</f>
        <v xml:space="preserve"> </v>
      </c>
    </row>
    <row r="18" spans="2:28" ht="12.75" customHeight="1" x14ac:dyDescent="0.3">
      <c r="B18" s="133">
        <v>13</v>
      </c>
      <c r="C18" s="142" t="s">
        <v>592</v>
      </c>
      <c r="D18" s="482">
        <f>IFERROR(VLOOKUP(C18,Tabla15[[Piloto]:[Puntos clase]],7, FALSE), " ")</f>
        <v>3</v>
      </c>
      <c r="E18" s="482" t="str">
        <f>LEFT(AB18,LEN(AB18)-2)</f>
        <v>2</v>
      </c>
      <c r="F18" s="135">
        <f>IFERROR(VLOOKUP(C18,'01_RS ALCARRIA'!$D$6:$M$36,10,FALSE),"")</f>
        <v>8</v>
      </c>
      <c r="G18" s="135">
        <f>IFERROR(VLOOKUP(C18,'01_RS ALCARRIA'!$D$6:$O$36,12,FALSE),"")</f>
        <v>8</v>
      </c>
      <c r="H18" s="138">
        <f>(F18+G18)*2</f>
        <v>32</v>
      </c>
      <c r="I18" s="135">
        <v>0</v>
      </c>
      <c r="J18" s="135">
        <v>0</v>
      </c>
      <c r="K18" s="138">
        <f>(I18+J18)</f>
        <v>0</v>
      </c>
      <c r="L18" s="135"/>
      <c r="M18" s="135"/>
      <c r="N18" s="138"/>
      <c r="O18" s="135"/>
      <c r="P18" s="135"/>
      <c r="Q18" s="138"/>
      <c r="R18" s="135"/>
      <c r="S18" s="135"/>
      <c r="T18" s="138"/>
      <c r="U18" s="135"/>
      <c r="V18" s="135"/>
      <c r="W18" s="138"/>
      <c r="X18" s="139">
        <f t="shared" si="1"/>
        <v>32</v>
      </c>
      <c r="Y18" s="140" t="str">
        <f t="shared" si="2"/>
        <v>No</v>
      </c>
      <c r="Z18" s="141">
        <f t="shared" si="3"/>
        <v>2</v>
      </c>
      <c r="AB18" s="261" t="str">
        <f>IFERROR(VLOOKUP(C18,Tabla15[[Piloto]:[Puntos clase]],6, FALSE), " ")</f>
        <v>2RM</v>
      </c>
    </row>
    <row r="19" spans="2:28" ht="12.75" customHeight="1" x14ac:dyDescent="0.3">
      <c r="B19" s="133">
        <v>13</v>
      </c>
      <c r="C19" s="142" t="s">
        <v>624</v>
      </c>
      <c r="D19" s="482">
        <v>4</v>
      </c>
      <c r="E19" s="482">
        <v>2</v>
      </c>
      <c r="F19" s="135">
        <f>IFERROR(VLOOKUP(C19,'01_RS ALCARRIA'!$D$6:$M$36,10,FALSE),"")</f>
        <v>0</v>
      </c>
      <c r="G19" s="135">
        <f>IFERROR(VLOOKUP(C19,'01_RS ALCARRIA'!$D$6:$O$36,12,FALSE),"")</f>
        <v>5</v>
      </c>
      <c r="H19" s="138">
        <f>(F19+G19)*2</f>
        <v>10</v>
      </c>
      <c r="I19" s="135">
        <f>IFERROR(VLOOKUP(C19,'02_TCT GUADAMUR'!$D$6:$M$36,10,FALSE),"")</f>
        <v>0</v>
      </c>
      <c r="J19" s="135">
        <f>IFERROR(VLOOKUP(C19,'02_TCT GUADAMUR'!$D$6:$O$36,12,FALSE),"")</f>
        <v>6</v>
      </c>
      <c r="K19" s="138">
        <f>(I19+J19)</f>
        <v>6</v>
      </c>
      <c r="L19" s="135">
        <f>IFERROR(VLOOKUP(C19,'03_TCT MAQUEDA'!$D$6:$M$36,10,FALSE),"")</f>
        <v>6</v>
      </c>
      <c r="M19" s="135">
        <f>IFERROR(VLOOKUP(C19,'03_TCT MAQUEDA'!$D$6:$O$36,12,FALSE),"")</f>
        <v>10</v>
      </c>
      <c r="N19" s="138">
        <f>(L19+M19)</f>
        <v>16</v>
      </c>
      <c r="O19" s="135"/>
      <c r="P19" s="135"/>
      <c r="Q19" s="138"/>
      <c r="R19" s="135"/>
      <c r="S19" s="135"/>
      <c r="T19" s="138"/>
      <c r="U19" s="135"/>
      <c r="V19" s="135"/>
      <c r="W19" s="138"/>
      <c r="X19" s="139">
        <f t="shared" si="1"/>
        <v>32</v>
      </c>
      <c r="Y19" s="140" t="str">
        <f t="shared" si="2"/>
        <v>Sí</v>
      </c>
      <c r="Z19" s="141">
        <f t="shared" si="3"/>
        <v>3</v>
      </c>
      <c r="AB19" s="261" t="str">
        <f>IFERROR(VLOOKUP(C19,Tabla15[[Piloto]:[Puntos clase]],6, FALSE), " ")</f>
        <v>2RM</v>
      </c>
    </row>
    <row r="20" spans="2:28" ht="12.75" customHeight="1" x14ac:dyDescent="0.3">
      <c r="B20" s="133">
        <v>15</v>
      </c>
      <c r="C20" s="142" t="s">
        <v>281</v>
      </c>
      <c r="D20" s="227">
        <v>1</v>
      </c>
      <c r="E20" s="227">
        <v>4</v>
      </c>
      <c r="F20" s="135"/>
      <c r="G20" s="135"/>
      <c r="H20" s="138"/>
      <c r="I20" s="135"/>
      <c r="J20" s="135"/>
      <c r="K20" s="138"/>
      <c r="L20" s="135">
        <f>IFERROR(VLOOKUP(C20,'03_TCT MAQUEDA'!$D$6:$M$36,10,FALSE),"")</f>
        <v>20</v>
      </c>
      <c r="M20" s="135">
        <f>IFERROR(VLOOKUP(C20,'03_TCT MAQUEDA'!$D$6:$O$36,12,FALSE),"")</f>
        <v>8</v>
      </c>
      <c r="N20" s="138">
        <f>(L20+M20)</f>
        <v>28</v>
      </c>
      <c r="O20" s="135"/>
      <c r="P20" s="135"/>
      <c r="Q20" s="138"/>
      <c r="R20" s="135"/>
      <c r="S20" s="135"/>
      <c r="T20" s="138"/>
      <c r="U20" s="135"/>
      <c r="V20" s="135"/>
      <c r="W20" s="138"/>
      <c r="X20" s="139">
        <f t="shared" si="1"/>
        <v>28</v>
      </c>
      <c r="Y20" s="140" t="str">
        <f t="shared" si="2"/>
        <v>No</v>
      </c>
      <c r="Z20" s="141">
        <f t="shared" si="3"/>
        <v>1</v>
      </c>
      <c r="AB20" s="261" t="str">
        <f>IFERROR(VLOOKUP(C20,Tabla15[[Piloto]:[Puntos clase]],6, FALSE), " ")</f>
        <v xml:space="preserve"> </v>
      </c>
    </row>
    <row r="21" spans="2:28" ht="12.75" customHeight="1" x14ac:dyDescent="0.3">
      <c r="B21" s="133">
        <v>16</v>
      </c>
      <c r="C21" s="142" t="s">
        <v>593</v>
      </c>
      <c r="D21" s="482">
        <f>IFERROR(VLOOKUP(C21,Tabla15[[Piloto]:[Puntos clase]],7, FALSE), " ")</f>
        <v>3</v>
      </c>
      <c r="E21" s="482" t="str">
        <f>LEFT(AB21,LEN(AB21)-2)</f>
        <v>2</v>
      </c>
      <c r="F21" s="135">
        <f>IFERROR(VLOOKUP(C21,'01_RS ALCARRIA'!$D$6:$M$36,10,FALSE),"")</f>
        <v>6</v>
      </c>
      <c r="G21" s="135">
        <f>IFERROR(VLOOKUP(C21,'01_RS ALCARRIA'!$D$6:$O$36,12,FALSE),"")</f>
        <v>6</v>
      </c>
      <c r="H21" s="138">
        <f>(F21+G21)*2</f>
        <v>24</v>
      </c>
      <c r="I21" s="135"/>
      <c r="J21" s="135"/>
      <c r="K21" s="138"/>
      <c r="L21" s="135">
        <v>0</v>
      </c>
      <c r="M21" s="135">
        <v>0</v>
      </c>
      <c r="N21" s="138">
        <f>(L21+M21)</f>
        <v>0</v>
      </c>
      <c r="O21" s="135"/>
      <c r="P21" s="135"/>
      <c r="Q21" s="138"/>
      <c r="R21" s="135"/>
      <c r="S21" s="135"/>
      <c r="T21" s="138"/>
      <c r="U21" s="135"/>
      <c r="V21" s="135"/>
      <c r="W21" s="138"/>
      <c r="X21" s="139">
        <f t="shared" si="1"/>
        <v>24</v>
      </c>
      <c r="Y21" s="140" t="str">
        <f t="shared" si="2"/>
        <v>No</v>
      </c>
      <c r="Z21" s="141">
        <f t="shared" si="3"/>
        <v>2</v>
      </c>
      <c r="AB21" s="261" t="str">
        <f>IFERROR(VLOOKUP(C21,Tabla15[[Piloto]:[Puntos clase]],6, FALSE), " ")</f>
        <v>2RM</v>
      </c>
    </row>
    <row r="22" spans="2:28" ht="12.75" customHeight="1" x14ac:dyDescent="0.3">
      <c r="B22" s="133">
        <v>17</v>
      </c>
      <c r="C22" s="134" t="s">
        <v>212</v>
      </c>
      <c r="D22" s="482">
        <v>3</v>
      </c>
      <c r="E22" s="482">
        <v>2</v>
      </c>
      <c r="F22" s="135"/>
      <c r="G22" s="135"/>
      <c r="H22" s="138"/>
      <c r="I22" s="135">
        <f>IFERROR(VLOOKUP(C22,'02_TCT GUADAMUR'!$D$6:$M$36,10,FALSE),"")</f>
        <v>12</v>
      </c>
      <c r="J22" s="135">
        <f>IFERROR(VLOOKUP(C22,'02_TCT GUADAMUR'!$D$6:$O$36,12,FALSE),"")</f>
        <v>10</v>
      </c>
      <c r="K22" s="138">
        <f t="shared" ref="K22:K28" si="4">(I22+J22)</f>
        <v>22</v>
      </c>
      <c r="L22" s="135"/>
      <c r="M22" s="135"/>
      <c r="N22" s="138"/>
      <c r="O22" s="135"/>
      <c r="P22" s="135"/>
      <c r="Q22" s="138"/>
      <c r="R22" s="135"/>
      <c r="S22" s="135"/>
      <c r="T22" s="138"/>
      <c r="U22" s="135"/>
      <c r="V22" s="135"/>
      <c r="W22" s="138"/>
      <c r="X22" s="139">
        <f t="shared" si="1"/>
        <v>22</v>
      </c>
      <c r="Y22" s="140" t="str">
        <f t="shared" si="2"/>
        <v>No</v>
      </c>
      <c r="Z22" s="141">
        <f t="shared" si="3"/>
        <v>1</v>
      </c>
      <c r="AB22" s="261" t="str">
        <f>IFERROR(VLOOKUP(C22,Tabla15[[Piloto]:[Puntos clase]],6, FALSE), " ")</f>
        <v xml:space="preserve"> </v>
      </c>
    </row>
    <row r="23" spans="2:28" ht="12.75" customHeight="1" x14ac:dyDescent="0.3">
      <c r="B23" s="133">
        <v>18</v>
      </c>
      <c r="C23" s="142" t="s">
        <v>408</v>
      </c>
      <c r="D23" s="482">
        <f>IFERROR(VLOOKUP(C23,Tabla15[[Piloto]:[Puntos clase]],7, FALSE), " ")</f>
        <v>5</v>
      </c>
      <c r="E23" s="482" t="str">
        <f>LEFT(AB23,LEN(AB23)-2)</f>
        <v>2</v>
      </c>
      <c r="F23" s="135">
        <v>0</v>
      </c>
      <c r="G23" s="135">
        <v>0</v>
      </c>
      <c r="H23" s="138">
        <f>(F23+G23)*2</f>
        <v>0</v>
      </c>
      <c r="I23" s="135">
        <f>IFERROR(VLOOKUP(C23,'02_TCT GUADAMUR'!$D$6:$M$36,10,FALSE),"")</f>
        <v>0</v>
      </c>
      <c r="J23" s="135">
        <f>IFERROR(VLOOKUP(C23,'02_TCT GUADAMUR'!$D$6:$O$36,12,FALSE),"")</f>
        <v>6</v>
      </c>
      <c r="K23" s="138">
        <f t="shared" si="4"/>
        <v>6</v>
      </c>
      <c r="L23" s="135">
        <f>IFERROR(VLOOKUP(C23,'03_TCT MAQUEDA'!$D$6:$M$36,10,FALSE),"")</f>
        <v>10</v>
      </c>
      <c r="M23" s="284">
        <f>IFERROR(VLOOKUP(C23,'03_TCT MAQUEDA'!$D$6:$O$36,12,FALSE),"")/2</f>
        <v>5</v>
      </c>
      <c r="N23" s="138">
        <f>(L23+M23)</f>
        <v>15</v>
      </c>
      <c r="O23" s="135"/>
      <c r="P23" s="135"/>
      <c r="Q23" s="138"/>
      <c r="R23" s="135"/>
      <c r="S23" s="135"/>
      <c r="T23" s="138"/>
      <c r="U23" s="135"/>
      <c r="V23" s="135"/>
      <c r="W23" s="138"/>
      <c r="X23" s="139">
        <f t="shared" si="1"/>
        <v>21</v>
      </c>
      <c r="Y23" s="140" t="str">
        <f t="shared" si="2"/>
        <v>Sí</v>
      </c>
      <c r="Z23" s="141">
        <f t="shared" si="3"/>
        <v>3</v>
      </c>
      <c r="AB23" s="261" t="str">
        <f>IFERROR(VLOOKUP(C23,Tabla15[[Piloto]:[Puntos clase]],6, FALSE), " ")</f>
        <v>2RM</v>
      </c>
    </row>
    <row r="24" spans="2:28" ht="12.75" customHeight="1" x14ac:dyDescent="0.3">
      <c r="B24" s="133">
        <v>19</v>
      </c>
      <c r="C24" s="142" t="s">
        <v>621</v>
      </c>
      <c r="D24" s="482">
        <v>4</v>
      </c>
      <c r="E24" s="482" t="str">
        <f>LEFT(AB24,LEN(AB24)-2)</f>
        <v>2</v>
      </c>
      <c r="F24" s="135">
        <f>IFERROR(VLOOKUP(C24,'01_RS ALCARRIA'!$D$6:$M$36,10,FALSE),"")</f>
        <v>0</v>
      </c>
      <c r="G24" s="135">
        <f>IFERROR(VLOOKUP(C24,'01_RS ALCARRIA'!$D$6:$O$36,12,FALSE),"")</f>
        <v>6</v>
      </c>
      <c r="H24" s="138">
        <f>(F24+G24)*2</f>
        <v>12</v>
      </c>
      <c r="I24" s="135">
        <f>IFERROR(VLOOKUP(C24,'02_TCT GUADAMUR'!$D$6:$M$36,10,FALSE),"")</f>
        <v>0</v>
      </c>
      <c r="J24" s="135">
        <f>IFERROR(VLOOKUP(C24,'02_TCT GUADAMUR'!$D$6:$O$36,12,FALSE),"")</f>
        <v>5</v>
      </c>
      <c r="K24" s="138">
        <f t="shared" si="4"/>
        <v>5</v>
      </c>
      <c r="L24" s="135"/>
      <c r="M24" s="135"/>
      <c r="N24" s="138"/>
      <c r="O24" s="135"/>
      <c r="P24" s="135"/>
      <c r="Q24" s="138"/>
      <c r="R24" s="135"/>
      <c r="S24" s="135"/>
      <c r="T24" s="138"/>
      <c r="U24" s="135"/>
      <c r="V24" s="135"/>
      <c r="W24" s="138"/>
      <c r="X24" s="139">
        <f t="shared" si="1"/>
        <v>17</v>
      </c>
      <c r="Y24" s="140" t="str">
        <f t="shared" si="2"/>
        <v>No</v>
      </c>
      <c r="Z24" s="141">
        <f t="shared" si="3"/>
        <v>2</v>
      </c>
      <c r="AB24" s="261" t="str">
        <f>IFERROR(VLOOKUP(C24,Tabla15[[Piloto]:[Puntos clase]],6, FALSE), " ")</f>
        <v>2RM</v>
      </c>
    </row>
    <row r="25" spans="2:28" ht="12.75" customHeight="1" x14ac:dyDescent="0.3">
      <c r="B25" s="133">
        <v>20</v>
      </c>
      <c r="C25" s="134" t="s">
        <v>610</v>
      </c>
      <c r="D25" s="482">
        <f>IFERROR(VLOOKUP(C25,Tabla15[[Piloto]:[Puntos clase]],7, FALSE), " ")</f>
        <v>3</v>
      </c>
      <c r="E25" s="482" t="str">
        <f>LEFT(AB25,LEN(AB25)-2)</f>
        <v>2</v>
      </c>
      <c r="F25" s="135">
        <f>IFERROR(VLOOKUP(C25,'01_RS ALCARRIA'!$D$6:$M$36,10,FALSE),"")</f>
        <v>0</v>
      </c>
      <c r="G25" s="135">
        <f>IFERROR(VLOOKUP(C25,'01_RS ALCARRIA'!$D$6:$O$36,12,FALSE),"")</f>
        <v>0</v>
      </c>
      <c r="H25" s="138">
        <f>(F25+G25)*2</f>
        <v>0</v>
      </c>
      <c r="I25" s="135">
        <f>IFERROR(VLOOKUP(C25,'02_TCT GUADAMUR'!$D$6:$M$36,10,FALSE),"")</f>
        <v>0</v>
      </c>
      <c r="J25" s="135">
        <f>IFERROR(VLOOKUP(C25,'02_TCT GUADAMUR'!$D$6:$O$36,12,FALSE),"")</f>
        <v>1</v>
      </c>
      <c r="K25" s="138">
        <f t="shared" si="4"/>
        <v>1</v>
      </c>
      <c r="L25" s="135">
        <f>IFERROR(VLOOKUP(C25,'03_TCT MAQUEDA'!$D$6:$M$36,10,FALSE),"")</f>
        <v>4</v>
      </c>
      <c r="M25" s="135">
        <f>IFERROR(VLOOKUP(C25,'03_TCT MAQUEDA'!$D$6:$O$36,12,FALSE),"")</f>
        <v>8</v>
      </c>
      <c r="N25" s="138">
        <f>(L25+M25)</f>
        <v>12</v>
      </c>
      <c r="O25" s="135"/>
      <c r="P25" s="135"/>
      <c r="Q25" s="138"/>
      <c r="R25" s="135"/>
      <c r="S25" s="135"/>
      <c r="T25" s="138"/>
      <c r="U25" s="135"/>
      <c r="V25" s="135"/>
      <c r="W25" s="138"/>
      <c r="X25" s="139">
        <f t="shared" si="1"/>
        <v>13</v>
      </c>
      <c r="Y25" s="140" t="str">
        <f t="shared" si="2"/>
        <v>Sí</v>
      </c>
      <c r="Z25" s="141">
        <f t="shared" si="3"/>
        <v>3</v>
      </c>
      <c r="AB25" s="261" t="str">
        <f>IFERROR(VLOOKUP(C25,Tabla15[[Piloto]:[Puntos clase]],6, FALSE), " ")</f>
        <v>2RM</v>
      </c>
    </row>
    <row r="26" spans="2:28" ht="13" x14ac:dyDescent="0.3">
      <c r="B26" s="133">
        <v>21</v>
      </c>
      <c r="C26" s="142" t="s">
        <v>626</v>
      </c>
      <c r="D26" s="482">
        <f>IFERROR(VLOOKUP(C26,Tabla15[[Piloto]:[Puntos clase]],7, FALSE), " ")</f>
        <v>5</v>
      </c>
      <c r="E26" s="482" t="str">
        <f>LEFT(AB26,LEN(AB26)-2)</f>
        <v>4</v>
      </c>
      <c r="F26" s="135">
        <v>0</v>
      </c>
      <c r="G26" s="135">
        <v>0</v>
      </c>
      <c r="H26" s="138">
        <f>(F26+G26)*2</f>
        <v>0</v>
      </c>
      <c r="I26" s="135">
        <f>IFERROR(VLOOKUP(C26,'02_TCT GUADAMUR'!$D$6:$M$36,10,FALSE),"")</f>
        <v>4</v>
      </c>
      <c r="J26" s="135">
        <f>IFERROR(VLOOKUP(C26,'02_TCT GUADAMUR'!$D$6:$O$36,12,FALSE),"")</f>
        <v>8</v>
      </c>
      <c r="K26" s="138">
        <f t="shared" si="4"/>
        <v>12</v>
      </c>
      <c r="L26" s="135"/>
      <c r="M26" s="135"/>
      <c r="N26" s="138"/>
      <c r="O26" s="135"/>
      <c r="P26" s="135"/>
      <c r="Q26" s="138"/>
      <c r="R26" s="135"/>
      <c r="S26" s="135"/>
      <c r="T26" s="138"/>
      <c r="U26" s="135"/>
      <c r="V26" s="135"/>
      <c r="W26" s="138"/>
      <c r="X26" s="139">
        <f t="shared" si="1"/>
        <v>12</v>
      </c>
      <c r="Y26" s="140" t="str">
        <f t="shared" si="2"/>
        <v>No</v>
      </c>
      <c r="Z26" s="141">
        <f t="shared" si="3"/>
        <v>2</v>
      </c>
      <c r="AB26" s="261" t="str">
        <f>IFERROR(VLOOKUP(C26,Tabla15[[Piloto]:[Puntos clase]],6, FALSE), " ")</f>
        <v>4RM</v>
      </c>
    </row>
    <row r="27" spans="2:28" ht="13" x14ac:dyDescent="0.3">
      <c r="B27" s="133">
        <v>22</v>
      </c>
      <c r="C27" s="142" t="s">
        <v>671</v>
      </c>
      <c r="D27" s="482">
        <v>3</v>
      </c>
      <c r="E27" s="482">
        <v>2</v>
      </c>
      <c r="F27" s="135"/>
      <c r="G27" s="135"/>
      <c r="H27" s="138"/>
      <c r="I27" s="135">
        <f>IFERROR(VLOOKUP(C27,'02_TCT GUADAMUR'!$D$6:$M$36,10,FALSE),"")</f>
        <v>5</v>
      </c>
      <c r="J27" s="135">
        <f>IFERROR(VLOOKUP(C27,'02_TCT GUADAMUR'!$D$6:$O$36,12,FALSE),"")</f>
        <v>6</v>
      </c>
      <c r="K27" s="138">
        <f t="shared" si="4"/>
        <v>11</v>
      </c>
      <c r="L27" s="135">
        <v>0</v>
      </c>
      <c r="M27" s="135">
        <v>0</v>
      </c>
      <c r="N27" s="138">
        <f>(L27+M27)</f>
        <v>0</v>
      </c>
      <c r="O27" s="135"/>
      <c r="P27" s="135"/>
      <c r="Q27" s="138"/>
      <c r="R27" s="135"/>
      <c r="S27" s="135"/>
      <c r="T27" s="138"/>
      <c r="U27" s="135"/>
      <c r="V27" s="135"/>
      <c r="W27" s="138"/>
      <c r="X27" s="139">
        <f t="shared" si="1"/>
        <v>11</v>
      </c>
      <c r="Y27" s="140" t="str">
        <f t="shared" si="2"/>
        <v>No</v>
      </c>
      <c r="Z27" s="141">
        <f t="shared" si="3"/>
        <v>2</v>
      </c>
      <c r="AB27" s="261" t="str">
        <f>IFERROR(VLOOKUP(C27,Tabla15[[Piloto]:[Puntos clase]],6, FALSE), " ")</f>
        <v xml:space="preserve"> </v>
      </c>
    </row>
    <row r="28" spans="2:28" ht="13" x14ac:dyDescent="0.3">
      <c r="B28" s="133">
        <v>23</v>
      </c>
      <c r="C28" s="142" t="s">
        <v>676</v>
      </c>
      <c r="D28" s="482">
        <v>4</v>
      </c>
      <c r="E28" s="482">
        <v>2</v>
      </c>
      <c r="F28" s="135"/>
      <c r="G28" s="135"/>
      <c r="H28" s="138"/>
      <c r="I28" s="135">
        <f>IFERROR(VLOOKUP(C28,'02_TCT GUADAMUR'!$D$6:$M$36,10,FALSE),"")</f>
        <v>0</v>
      </c>
      <c r="J28" s="135">
        <f>IFERROR(VLOOKUP(C28,'02_TCT GUADAMUR'!$D$6:$O$36,12,FALSE),"")</f>
        <v>3</v>
      </c>
      <c r="K28" s="138">
        <f t="shared" si="4"/>
        <v>3</v>
      </c>
      <c r="L28" s="135">
        <f>IFERROR(VLOOKUP(C28,'03_TCT MAQUEDA'!$D$6:$M$36,10,FALSE),"")</f>
        <v>0</v>
      </c>
      <c r="M28" s="135">
        <f>IFERROR(VLOOKUP(C28,'03_TCT MAQUEDA'!$D$6:$O$36,12,FALSE),"")</f>
        <v>6</v>
      </c>
      <c r="N28" s="138">
        <f>(L28+M28)</f>
        <v>6</v>
      </c>
      <c r="O28" s="135"/>
      <c r="P28" s="135"/>
      <c r="Q28" s="138"/>
      <c r="R28" s="135"/>
      <c r="S28" s="135"/>
      <c r="T28" s="138"/>
      <c r="U28" s="135"/>
      <c r="V28" s="135"/>
      <c r="W28" s="138"/>
      <c r="X28" s="139">
        <f t="shared" si="1"/>
        <v>9</v>
      </c>
      <c r="Y28" s="140" t="str">
        <f t="shared" si="2"/>
        <v>No</v>
      </c>
      <c r="Z28" s="141">
        <f t="shared" si="3"/>
        <v>2</v>
      </c>
      <c r="AB28" s="261" t="str">
        <f>IFERROR(VLOOKUP(C28,Tabla15[[Piloto]:[Puntos clase]],6, FALSE), " ")</f>
        <v xml:space="preserve"> </v>
      </c>
    </row>
    <row r="29" spans="2:28" ht="13" x14ac:dyDescent="0.3">
      <c r="B29" s="133">
        <v>24</v>
      </c>
      <c r="C29" s="142" t="s">
        <v>601</v>
      </c>
      <c r="D29" s="482">
        <f>IFERROR(VLOOKUP(C29,Tabla15[[Piloto]:[Puntos clase]],7, FALSE), " ")</f>
        <v>3</v>
      </c>
      <c r="E29" s="482" t="str">
        <f>LEFT(AB29,LEN(AB29)-2)</f>
        <v>2</v>
      </c>
      <c r="F29" s="135">
        <f>IFERROR(VLOOKUP(C29,'01_RS ALCARRIA'!$D$6:$M$36,10,FALSE),"")</f>
        <v>1</v>
      </c>
      <c r="G29" s="135">
        <f>IFERROR(VLOOKUP(C29,'01_RS ALCARRIA'!$D$6:$O$36,12,FALSE),"")</f>
        <v>3</v>
      </c>
      <c r="H29" s="138">
        <f>(F29+G29)*2</f>
        <v>8</v>
      </c>
      <c r="I29" s="135"/>
      <c r="J29" s="135"/>
      <c r="K29" s="138"/>
      <c r="L29" s="135"/>
      <c r="M29" s="135"/>
      <c r="N29" s="138"/>
      <c r="O29" s="135"/>
      <c r="P29" s="135"/>
      <c r="Q29" s="138"/>
      <c r="R29" s="135"/>
      <c r="S29" s="135"/>
      <c r="T29" s="138"/>
      <c r="U29" s="135"/>
      <c r="V29" s="135"/>
      <c r="W29" s="138"/>
      <c r="X29" s="139">
        <f t="shared" si="1"/>
        <v>8</v>
      </c>
      <c r="Y29" s="140" t="str">
        <f t="shared" si="2"/>
        <v>No</v>
      </c>
      <c r="Z29" s="141">
        <f t="shared" si="3"/>
        <v>1</v>
      </c>
      <c r="AB29" s="261" t="str">
        <f>IFERROR(VLOOKUP(C29,Tabla15[[Piloto]:[Puntos clase]],6, FALSE), " ")</f>
        <v>2RM</v>
      </c>
    </row>
    <row r="30" spans="2:28" ht="13" x14ac:dyDescent="0.3">
      <c r="B30" s="133">
        <v>25</v>
      </c>
      <c r="C30" s="142" t="s">
        <v>698</v>
      </c>
      <c r="D30" s="227">
        <v>5</v>
      </c>
      <c r="E30" s="227">
        <v>2</v>
      </c>
      <c r="F30" s="135"/>
      <c r="G30" s="135"/>
      <c r="H30" s="138"/>
      <c r="I30" s="135"/>
      <c r="J30" s="135"/>
      <c r="K30" s="138"/>
      <c r="L30" s="135">
        <f>IFERROR(VLOOKUP(C30,'03_TCT MAQUEDA'!$D$6:$M$36,10,FALSE),"")</f>
        <v>3</v>
      </c>
      <c r="M30" s="284">
        <f>IFERROR(VLOOKUP(C30,'03_TCT MAQUEDA'!$D$6:$O$36,12,FALSE),"")/2</f>
        <v>4</v>
      </c>
      <c r="N30" s="138">
        <f>(L30+M30)</f>
        <v>7</v>
      </c>
      <c r="O30" s="135"/>
      <c r="P30" s="135"/>
      <c r="Q30" s="138"/>
      <c r="R30" s="135"/>
      <c r="S30" s="135"/>
      <c r="T30" s="138"/>
      <c r="U30" s="135"/>
      <c r="V30" s="135"/>
      <c r="W30" s="138"/>
      <c r="X30" s="139">
        <f t="shared" si="1"/>
        <v>7</v>
      </c>
      <c r="Y30" s="140" t="str">
        <f t="shared" si="2"/>
        <v>No</v>
      </c>
      <c r="Z30" s="141">
        <f t="shared" si="3"/>
        <v>1</v>
      </c>
      <c r="AB30" s="261" t="str">
        <f>IFERROR(VLOOKUP(C30,Tabla15[[Piloto]:[Puntos clase]],6, FALSE), " ")</f>
        <v xml:space="preserve"> </v>
      </c>
    </row>
    <row r="31" spans="2:28" ht="13" x14ac:dyDescent="0.3">
      <c r="B31" s="133">
        <v>26</v>
      </c>
      <c r="C31" s="142" t="s">
        <v>632</v>
      </c>
      <c r="D31" s="482">
        <v>3</v>
      </c>
      <c r="E31" s="482">
        <v>2</v>
      </c>
      <c r="F31" s="135">
        <v>0</v>
      </c>
      <c r="G31" s="135">
        <v>0</v>
      </c>
      <c r="H31" s="138">
        <f>(F31+G31)*2</f>
        <v>0</v>
      </c>
      <c r="I31" s="135"/>
      <c r="J31" s="135"/>
      <c r="K31" s="138"/>
      <c r="L31" s="135">
        <f>IFERROR(VLOOKUP(C31,'03_TCT MAQUEDA'!$D$6:$M$36,10,FALSE),"")</f>
        <v>1</v>
      </c>
      <c r="M31" s="135">
        <f>IFERROR(VLOOKUP(C31,'03_TCT MAQUEDA'!$D$6:$O$36,12,FALSE),"")</f>
        <v>5</v>
      </c>
      <c r="N31" s="138">
        <f>(L31+M31)</f>
        <v>6</v>
      </c>
      <c r="O31" s="135"/>
      <c r="P31" s="135"/>
      <c r="Q31" s="138"/>
      <c r="R31" s="135"/>
      <c r="S31" s="135"/>
      <c r="T31" s="138"/>
      <c r="U31" s="135"/>
      <c r="V31" s="135"/>
      <c r="W31" s="138"/>
      <c r="X31" s="139">
        <f t="shared" si="1"/>
        <v>6</v>
      </c>
      <c r="Y31" s="140" t="str">
        <f t="shared" si="2"/>
        <v>No</v>
      </c>
      <c r="Z31" s="141">
        <f t="shared" si="3"/>
        <v>2</v>
      </c>
      <c r="AB31" s="261" t="str">
        <f>IFERROR(VLOOKUP(C31,Tabla15[[Piloto]:[Puntos clase]],6, FALSE), " ")</f>
        <v>2RM</v>
      </c>
    </row>
    <row r="32" spans="2:28" ht="13" x14ac:dyDescent="0.3">
      <c r="B32" s="133">
        <v>26</v>
      </c>
      <c r="C32" s="142" t="s">
        <v>678</v>
      </c>
      <c r="D32" s="482">
        <v>1</v>
      </c>
      <c r="E32" s="482">
        <v>4</v>
      </c>
      <c r="F32" s="135"/>
      <c r="G32" s="135"/>
      <c r="H32" s="138"/>
      <c r="I32" s="135">
        <v>0</v>
      </c>
      <c r="J32" s="135">
        <v>0</v>
      </c>
      <c r="K32" s="138">
        <f t="shared" ref="K32:K38" si="5">(I32+J32)</f>
        <v>0</v>
      </c>
      <c r="L32" s="135">
        <f>IFERROR(VLOOKUP(C32,'03_TCT MAQUEDA'!$D$6:$M$36,10,FALSE),"")</f>
        <v>0</v>
      </c>
      <c r="M32" s="135">
        <f>IFERROR(VLOOKUP(C32,'03_TCT MAQUEDA'!$D$6:$O$36,12,FALSE),"")</f>
        <v>6</v>
      </c>
      <c r="N32" s="138">
        <f>(L32+M32)</f>
        <v>6</v>
      </c>
      <c r="O32" s="135"/>
      <c r="P32" s="135"/>
      <c r="Q32" s="138"/>
      <c r="R32" s="135"/>
      <c r="S32" s="135"/>
      <c r="T32" s="138"/>
      <c r="U32" s="135"/>
      <c r="V32" s="135"/>
      <c r="W32" s="138"/>
      <c r="X32" s="139">
        <f t="shared" si="1"/>
        <v>6</v>
      </c>
      <c r="Y32" s="140" t="str">
        <f t="shared" si="2"/>
        <v>No</v>
      </c>
      <c r="Z32" s="141">
        <f t="shared" si="3"/>
        <v>2</v>
      </c>
      <c r="AB32" s="261" t="str">
        <f>IFERROR(VLOOKUP(C32,Tabla15[[Piloto]:[Puntos clase]],6, FALSE), " ")</f>
        <v xml:space="preserve"> </v>
      </c>
    </row>
    <row r="33" spans="2:28" ht="13" x14ac:dyDescent="0.3">
      <c r="B33" s="133">
        <v>28</v>
      </c>
      <c r="C33" s="142" t="s">
        <v>606</v>
      </c>
      <c r="D33" s="482">
        <v>3</v>
      </c>
      <c r="E33" s="482">
        <v>2</v>
      </c>
      <c r="F33" s="135">
        <f>IFERROR(VLOOKUP(C33,'01_RS ALCARRIA'!$D$6:$M$36,10,FALSE),"")</f>
        <v>0</v>
      </c>
      <c r="G33" s="135">
        <f>IFERROR(VLOOKUP(C33,'01_RS ALCARRIA'!$D$6:$O$36,12,FALSE),"")</f>
        <v>0</v>
      </c>
      <c r="H33" s="138">
        <f>(F33+G33)*2</f>
        <v>0</v>
      </c>
      <c r="I33" s="135">
        <f>IFERROR(VLOOKUP(C33,'02_TCT GUADAMUR'!$D$6:$M$36,10,FALSE),"")</f>
        <v>2</v>
      </c>
      <c r="J33" s="135">
        <f>IFERROR(VLOOKUP(C33,'02_TCT GUADAMUR'!$D$6:$O$36,12,FALSE),"")</f>
        <v>3</v>
      </c>
      <c r="K33" s="138">
        <f t="shared" si="5"/>
        <v>5</v>
      </c>
      <c r="L33" s="135"/>
      <c r="M33" s="135"/>
      <c r="N33" s="138"/>
      <c r="O33" s="135"/>
      <c r="P33" s="135"/>
      <c r="Q33" s="138"/>
      <c r="R33" s="135"/>
      <c r="S33" s="135"/>
      <c r="T33" s="138"/>
      <c r="U33" s="135"/>
      <c r="V33" s="135"/>
      <c r="W33" s="138"/>
      <c r="X33" s="139">
        <f t="shared" si="1"/>
        <v>5</v>
      </c>
      <c r="Y33" s="140" t="str">
        <f t="shared" si="2"/>
        <v>No</v>
      </c>
      <c r="Z33" s="141">
        <f t="shared" si="3"/>
        <v>2</v>
      </c>
      <c r="AB33" s="261" t="str">
        <f>IFERROR(VLOOKUP(C33,Tabla15[[Piloto]:[Puntos clase]],6, FALSE), " ")</f>
        <v>2RM</v>
      </c>
    </row>
    <row r="34" spans="2:28" ht="13" x14ac:dyDescent="0.3">
      <c r="B34" s="133">
        <v>28</v>
      </c>
      <c r="C34" s="142" t="s">
        <v>628</v>
      </c>
      <c r="D34" s="482">
        <f>IFERROR(VLOOKUP(C34,Tabla15[[Piloto]:[Puntos clase]],7, FALSE), " ")</f>
        <v>2</v>
      </c>
      <c r="E34" s="482" t="str">
        <f>LEFT(AB34,LEN(AB34)-2)</f>
        <v>2</v>
      </c>
      <c r="F34" s="135">
        <v>0</v>
      </c>
      <c r="G34" s="135">
        <v>0</v>
      </c>
      <c r="H34" s="138">
        <f>(F34+G34)*2</f>
        <v>0</v>
      </c>
      <c r="I34" s="135">
        <v>0</v>
      </c>
      <c r="J34" s="135">
        <v>0</v>
      </c>
      <c r="K34" s="138">
        <f t="shared" si="5"/>
        <v>0</v>
      </c>
      <c r="L34" s="135">
        <f>IFERROR(VLOOKUP(C34,'03_TCT MAQUEDA'!$D$6:$M$36,10,FALSE),"")</f>
        <v>0</v>
      </c>
      <c r="M34" s="135">
        <f>IFERROR(VLOOKUP(C34,'03_TCT MAQUEDA'!$D$6:$O$36,12,FALSE),"")</f>
        <v>5</v>
      </c>
      <c r="N34" s="138">
        <f t="shared" ref="N34:N39" si="6">(L34+M34)</f>
        <v>5</v>
      </c>
      <c r="O34" s="135"/>
      <c r="P34" s="135"/>
      <c r="Q34" s="138"/>
      <c r="R34" s="135"/>
      <c r="S34" s="135"/>
      <c r="T34" s="138"/>
      <c r="U34" s="135"/>
      <c r="V34" s="135"/>
      <c r="W34" s="138"/>
      <c r="X34" s="139">
        <f t="shared" si="1"/>
        <v>5</v>
      </c>
      <c r="Y34" s="140" t="str">
        <f t="shared" si="2"/>
        <v>Sí</v>
      </c>
      <c r="Z34" s="141">
        <f t="shared" si="3"/>
        <v>3</v>
      </c>
      <c r="AB34" s="261" t="str">
        <f>IFERROR(VLOOKUP(C34,Tabla15[[Piloto]:[Puntos clase]],6, FALSE), " ")</f>
        <v>2RM</v>
      </c>
    </row>
    <row r="35" spans="2:28" ht="13" x14ac:dyDescent="0.3">
      <c r="B35" s="133">
        <v>28</v>
      </c>
      <c r="C35" s="142" t="s">
        <v>674</v>
      </c>
      <c r="D35" s="482">
        <v>2</v>
      </c>
      <c r="E35" s="482">
        <v>2</v>
      </c>
      <c r="F35" s="135"/>
      <c r="G35" s="135"/>
      <c r="H35" s="138"/>
      <c r="I35" s="135">
        <f>IFERROR(VLOOKUP(C35,'02_TCT GUADAMUR'!$D$6:$M$36,10,FALSE),"")</f>
        <v>0</v>
      </c>
      <c r="J35" s="135">
        <f>IFERROR(VLOOKUP(C35,'02_TCT GUADAMUR'!$D$6:$O$36,12,FALSE),"")</f>
        <v>5</v>
      </c>
      <c r="K35" s="138">
        <f t="shared" si="5"/>
        <v>5</v>
      </c>
      <c r="L35" s="135">
        <v>0</v>
      </c>
      <c r="M35" s="135">
        <v>0</v>
      </c>
      <c r="N35" s="138">
        <f t="shared" si="6"/>
        <v>0</v>
      </c>
      <c r="O35" s="135"/>
      <c r="P35" s="135"/>
      <c r="Q35" s="138"/>
      <c r="R35" s="135"/>
      <c r="S35" s="135"/>
      <c r="T35" s="138"/>
      <c r="U35" s="135"/>
      <c r="V35" s="135"/>
      <c r="W35" s="138"/>
      <c r="X35" s="139">
        <f t="shared" si="1"/>
        <v>5</v>
      </c>
      <c r="Y35" s="140" t="str">
        <f t="shared" si="2"/>
        <v>No</v>
      </c>
      <c r="Z35" s="141">
        <f t="shared" si="3"/>
        <v>2</v>
      </c>
      <c r="AB35" s="261" t="str">
        <f>IFERROR(VLOOKUP(C35,Tabla15[[Piloto]:[Puntos clase]],6, FALSE), " ")</f>
        <v xml:space="preserve"> </v>
      </c>
    </row>
    <row r="36" spans="2:28" ht="13" x14ac:dyDescent="0.3">
      <c r="B36" s="133">
        <v>28</v>
      </c>
      <c r="C36" s="142" t="s">
        <v>683</v>
      </c>
      <c r="D36" s="482">
        <v>4</v>
      </c>
      <c r="E36" s="482">
        <v>2</v>
      </c>
      <c r="F36" s="135"/>
      <c r="G36" s="135"/>
      <c r="H36" s="138"/>
      <c r="I36" s="135">
        <v>0</v>
      </c>
      <c r="J36" s="135">
        <v>0</v>
      </c>
      <c r="K36" s="138">
        <f t="shared" si="5"/>
        <v>0</v>
      </c>
      <c r="L36" s="135">
        <f>IFERROR(VLOOKUP(C36,'03_TCT MAQUEDA'!$D$6:$M$36,10,FALSE),"")</f>
        <v>0</v>
      </c>
      <c r="M36" s="135">
        <f>IFERROR(VLOOKUP(C36,'03_TCT MAQUEDA'!$D$6:$O$36,12,FALSE),"")</f>
        <v>5</v>
      </c>
      <c r="N36" s="138">
        <f t="shared" si="6"/>
        <v>5</v>
      </c>
      <c r="O36" s="135"/>
      <c r="P36" s="135"/>
      <c r="Q36" s="138"/>
      <c r="R36" s="135"/>
      <c r="S36" s="135"/>
      <c r="T36" s="138"/>
      <c r="U36" s="135"/>
      <c r="V36" s="135"/>
      <c r="W36" s="138"/>
      <c r="X36" s="139">
        <f t="shared" si="1"/>
        <v>5</v>
      </c>
      <c r="Y36" s="140" t="str">
        <f t="shared" si="2"/>
        <v>No</v>
      </c>
      <c r="Z36" s="141">
        <f t="shared" si="3"/>
        <v>2</v>
      </c>
      <c r="AB36" s="261" t="str">
        <f>IFERROR(VLOOKUP(C36,Tabla15[[Piloto]:[Puntos clase]],6, FALSE), " ")</f>
        <v xml:space="preserve"> </v>
      </c>
    </row>
    <row r="37" spans="2:28" ht="13" x14ac:dyDescent="0.3">
      <c r="B37" s="133">
        <v>32</v>
      </c>
      <c r="C37" s="142" t="s">
        <v>607</v>
      </c>
      <c r="D37" s="482">
        <f>IFERROR(VLOOKUP(C37,Tabla15[[Piloto]:[Puntos clase]],7, FALSE), " ")</f>
        <v>3</v>
      </c>
      <c r="E37" s="482" t="str">
        <f>LEFT(AB37,LEN(AB37)-2)</f>
        <v>2</v>
      </c>
      <c r="F37" s="135">
        <f>IFERROR(VLOOKUP(C37,'01_RS ALCARRIA'!$D$6:$M$36,10,FALSE),"")</f>
        <v>0</v>
      </c>
      <c r="G37" s="135">
        <f>IFERROR(VLOOKUP(C37,'01_RS ALCARRIA'!$D$6:$O$36,12,FALSE),"")</f>
        <v>0</v>
      </c>
      <c r="H37" s="138">
        <f t="shared" ref="H37:H42" si="7">(F37+G37)*2</f>
        <v>0</v>
      </c>
      <c r="I37" s="135">
        <f>IFERROR(VLOOKUP(C37,'02_TCT GUADAMUR'!$D$6:$M$36,10,FALSE),"")</f>
        <v>0</v>
      </c>
      <c r="J37" s="135">
        <f>IFERROR(VLOOKUP(C37,'02_TCT GUADAMUR'!$D$6:$O$36,12,FALSE),"")</f>
        <v>0</v>
      </c>
      <c r="K37" s="138">
        <f t="shared" si="5"/>
        <v>0</v>
      </c>
      <c r="L37" s="135">
        <f>IFERROR(VLOOKUP(C37,'03_TCT MAQUEDA'!$D$6:$M$36,10,FALSE),"")</f>
        <v>0</v>
      </c>
      <c r="M37" s="135">
        <f>IFERROR(VLOOKUP(C37,'03_TCT MAQUEDA'!$D$6:$O$36,12,FALSE),"")</f>
        <v>3</v>
      </c>
      <c r="N37" s="138">
        <f t="shared" si="6"/>
        <v>3</v>
      </c>
      <c r="O37" s="135"/>
      <c r="P37" s="284"/>
      <c r="Q37" s="138"/>
      <c r="R37" s="135"/>
      <c r="S37" s="135"/>
      <c r="T37" s="138"/>
      <c r="U37" s="135"/>
      <c r="V37" s="135"/>
      <c r="W37" s="138"/>
      <c r="X37" s="139">
        <f t="shared" si="1"/>
        <v>3</v>
      </c>
      <c r="Y37" s="140" t="str">
        <f t="shared" si="2"/>
        <v>Sí</v>
      </c>
      <c r="Z37" s="141">
        <f t="shared" si="3"/>
        <v>3</v>
      </c>
      <c r="AB37" s="261" t="str">
        <f>IFERROR(VLOOKUP(C37,Tabla15[[Piloto]:[Puntos clase]],6, FALSE), " ")</f>
        <v>2RM</v>
      </c>
    </row>
    <row r="38" spans="2:28" ht="13" x14ac:dyDescent="0.3">
      <c r="B38" s="133">
        <v>33</v>
      </c>
      <c r="C38" s="142" t="s">
        <v>604</v>
      </c>
      <c r="D38" s="482">
        <f>IFERROR(VLOOKUP(C38,Tabla15[[Piloto]:[Puntos clase]],7, FALSE), " ")</f>
        <v>3</v>
      </c>
      <c r="E38" s="482" t="str">
        <f>LEFT(AB38,LEN(AB38)-2)</f>
        <v>2</v>
      </c>
      <c r="F38" s="135">
        <f>IFERROR(VLOOKUP(C38,'01_RS ALCARRIA'!$D$6:$M$36,10,FALSE),"")</f>
        <v>0</v>
      </c>
      <c r="G38" s="135">
        <f>IFERROR(VLOOKUP(C38,'01_RS ALCARRIA'!$D$6:$O$36,12,FALSE),"")</f>
        <v>1</v>
      </c>
      <c r="H38" s="138">
        <f t="shared" si="7"/>
        <v>2</v>
      </c>
      <c r="I38" s="135">
        <f>IFERROR(VLOOKUP(C38,'02_TCT GUADAMUR'!$D$6:$M$36,10,FALSE),"")</f>
        <v>0</v>
      </c>
      <c r="J38" s="135">
        <f>IFERROR(VLOOKUP(C38,'02_TCT GUADAMUR'!$D$6:$O$36,12,FALSE),"")</f>
        <v>0</v>
      </c>
      <c r="K38" s="138">
        <f t="shared" si="5"/>
        <v>0</v>
      </c>
      <c r="L38" s="135">
        <v>0</v>
      </c>
      <c r="M38" s="135">
        <v>0</v>
      </c>
      <c r="N38" s="138">
        <f t="shared" si="6"/>
        <v>0</v>
      </c>
      <c r="O38" s="135"/>
      <c r="P38" s="135"/>
      <c r="Q38" s="138"/>
      <c r="R38" s="135"/>
      <c r="S38" s="135"/>
      <c r="T38" s="138"/>
      <c r="U38" s="135"/>
      <c r="V38" s="135"/>
      <c r="W38" s="138"/>
      <c r="X38" s="139">
        <f t="shared" si="1"/>
        <v>2</v>
      </c>
      <c r="Y38" s="140" t="str">
        <f t="shared" si="2"/>
        <v>Sí</v>
      </c>
      <c r="Z38" s="141">
        <f t="shared" si="3"/>
        <v>3</v>
      </c>
      <c r="AB38" s="261" t="str">
        <f>IFERROR(VLOOKUP(C38,Tabla15[[Piloto]:[Puntos clase]],6, FALSE), " ")</f>
        <v>2RM</v>
      </c>
    </row>
    <row r="39" spans="2:28" ht="13" x14ac:dyDescent="0.3">
      <c r="B39" s="133">
        <v>34</v>
      </c>
      <c r="C39" s="142" t="s">
        <v>319</v>
      </c>
      <c r="D39" s="482">
        <f>IFERROR(VLOOKUP(C39,Tabla15[[Piloto]:[Puntos clase]],7, FALSE), " ")</f>
        <v>3</v>
      </c>
      <c r="E39" s="482">
        <v>2</v>
      </c>
      <c r="F39" s="135">
        <f>IFERROR(VLOOKUP(C39,'01_RS ALCARRIA'!$D$6:$M$36,10,FALSE),"")</f>
        <v>0</v>
      </c>
      <c r="G39" s="135">
        <f>IFERROR(VLOOKUP(C39,'01_RS ALCARRIA'!$D$6:$O$36,12,FALSE),"")</f>
        <v>0</v>
      </c>
      <c r="H39" s="138">
        <f t="shared" si="7"/>
        <v>0</v>
      </c>
      <c r="I39" s="135"/>
      <c r="J39" s="135"/>
      <c r="K39" s="138"/>
      <c r="L39" s="135">
        <f>IFERROR(VLOOKUP(C39,'03_TCT MAQUEDA'!$D$6:$M$36,10,FALSE),"")</f>
        <v>0</v>
      </c>
      <c r="M39" s="135">
        <f>IFERROR(VLOOKUP(C39,'03_TCT MAQUEDA'!$D$6:$O$36,12,FALSE),"")</f>
        <v>1</v>
      </c>
      <c r="N39" s="138">
        <f t="shared" si="6"/>
        <v>1</v>
      </c>
      <c r="O39" s="135"/>
      <c r="P39" s="135"/>
      <c r="Q39" s="138"/>
      <c r="R39" s="135"/>
      <c r="S39" s="135"/>
      <c r="T39" s="138"/>
      <c r="U39" s="135"/>
      <c r="V39" s="135"/>
      <c r="W39" s="138"/>
      <c r="X39" s="139">
        <f t="shared" si="1"/>
        <v>1</v>
      </c>
      <c r="Y39" s="140" t="str">
        <f t="shared" si="2"/>
        <v>No</v>
      </c>
      <c r="Z39" s="141">
        <f t="shared" si="3"/>
        <v>2</v>
      </c>
    </row>
    <row r="40" spans="2:28" ht="13" x14ac:dyDescent="0.3">
      <c r="B40" s="133" t="s">
        <v>658</v>
      </c>
      <c r="C40" s="142" t="s">
        <v>619</v>
      </c>
      <c r="D40" s="482">
        <f>IFERROR(VLOOKUP(C40,Tabla15[[Piloto]:[Puntos clase]],7, FALSE), " ")</f>
        <v>3</v>
      </c>
      <c r="E40" s="482">
        <v>2</v>
      </c>
      <c r="F40" s="135">
        <f>IFERROR(VLOOKUP(C40,'01_RS ALCARRIA'!$D$6:$M$36,10,FALSE),"")</f>
        <v>0</v>
      </c>
      <c r="G40" s="135">
        <f>IFERROR(VLOOKUP(C40,'01_RS ALCARRIA'!$D$6:$O$36,12,FALSE),"")</f>
        <v>0</v>
      </c>
      <c r="H40" s="138">
        <f t="shared" si="7"/>
        <v>0</v>
      </c>
      <c r="I40" s="135"/>
      <c r="J40" s="135"/>
      <c r="K40" s="138"/>
      <c r="L40" s="135"/>
      <c r="M40" s="135"/>
      <c r="N40" s="138"/>
      <c r="O40" s="135"/>
      <c r="P40" s="284"/>
      <c r="Q40" s="138"/>
      <c r="R40" s="135"/>
      <c r="S40" s="135"/>
      <c r="T40" s="138"/>
      <c r="U40" s="135"/>
      <c r="V40" s="135"/>
      <c r="W40" s="138"/>
      <c r="X40" s="139">
        <f t="shared" si="1"/>
        <v>0</v>
      </c>
      <c r="Y40" s="240"/>
      <c r="Z40" s="127"/>
    </row>
    <row r="41" spans="2:28" ht="13" x14ac:dyDescent="0.3">
      <c r="B41" s="133" t="s">
        <v>658</v>
      </c>
      <c r="C41" s="142" t="s">
        <v>635</v>
      </c>
      <c r="D41" s="482">
        <f>IFERROR(VLOOKUP(C41,Tabla15[[Piloto]:[Puntos clase]],7, FALSE), " ")</f>
        <v>5</v>
      </c>
      <c r="E41" s="482">
        <v>2</v>
      </c>
      <c r="F41" s="135">
        <v>0</v>
      </c>
      <c r="G41" s="135">
        <v>0</v>
      </c>
      <c r="H41" s="138">
        <f t="shared" si="7"/>
        <v>0</v>
      </c>
      <c r="I41" s="135"/>
      <c r="J41" s="135"/>
      <c r="K41" s="138"/>
      <c r="L41" s="135"/>
      <c r="M41" s="135"/>
      <c r="N41" s="138"/>
      <c r="O41" s="135"/>
      <c r="P41" s="135"/>
      <c r="Q41" s="138"/>
      <c r="R41" s="135"/>
      <c r="S41" s="135"/>
      <c r="T41" s="138"/>
      <c r="U41" s="135"/>
      <c r="V41" s="135"/>
      <c r="W41" s="138"/>
      <c r="X41" s="139">
        <f t="shared" si="1"/>
        <v>0</v>
      </c>
      <c r="Y41" s="240"/>
      <c r="Z41" s="127"/>
    </row>
    <row r="42" spans="2:28" ht="13" x14ac:dyDescent="0.3">
      <c r="B42" s="133" t="s">
        <v>658</v>
      </c>
      <c r="C42" s="142" t="s">
        <v>637</v>
      </c>
      <c r="D42" s="482">
        <f>IFERROR(VLOOKUP(C42,Tabla15[[Piloto]:[Puntos clase]],7, FALSE), " ")</f>
        <v>4</v>
      </c>
      <c r="E42" s="482">
        <v>2</v>
      </c>
      <c r="F42" s="135">
        <v>0</v>
      </c>
      <c r="G42" s="135">
        <v>0</v>
      </c>
      <c r="H42" s="138">
        <f t="shared" si="7"/>
        <v>0</v>
      </c>
      <c r="I42" s="135"/>
      <c r="J42" s="135"/>
      <c r="K42" s="138"/>
      <c r="L42" s="135"/>
      <c r="M42" s="135"/>
      <c r="N42" s="138"/>
      <c r="O42" s="135"/>
      <c r="P42" s="135"/>
      <c r="Q42" s="138"/>
      <c r="R42" s="135"/>
      <c r="S42" s="135"/>
      <c r="T42" s="138"/>
      <c r="U42" s="135"/>
      <c r="V42" s="135"/>
      <c r="W42" s="138"/>
      <c r="X42" s="139">
        <f t="shared" si="1"/>
        <v>0</v>
      </c>
      <c r="Y42" s="240"/>
      <c r="Z42" s="127"/>
    </row>
    <row r="43" spans="2:28" ht="13" x14ac:dyDescent="0.3">
      <c r="B43" s="133" t="s">
        <v>658</v>
      </c>
      <c r="C43" s="142" t="s">
        <v>238</v>
      </c>
      <c r="D43" s="482" t="s">
        <v>359</v>
      </c>
      <c r="E43" s="482" t="s">
        <v>359</v>
      </c>
      <c r="F43" s="135"/>
      <c r="G43" s="135"/>
      <c r="H43" s="138"/>
      <c r="I43" s="135">
        <v>0</v>
      </c>
      <c r="J43" s="135">
        <v>0</v>
      </c>
      <c r="K43" s="138">
        <f>(I43+J43)</f>
        <v>0</v>
      </c>
      <c r="L43" s="135">
        <v>0</v>
      </c>
      <c r="M43" s="135">
        <v>0</v>
      </c>
      <c r="N43" s="138">
        <f>(L43+M43)</f>
        <v>0</v>
      </c>
      <c r="O43" s="135"/>
      <c r="P43" s="135"/>
      <c r="Q43" s="138"/>
      <c r="R43" s="135"/>
      <c r="S43" s="135"/>
      <c r="T43" s="138"/>
      <c r="U43" s="135"/>
      <c r="V43" s="135"/>
      <c r="W43" s="138"/>
      <c r="X43" s="139">
        <f t="shared" si="1"/>
        <v>0</v>
      </c>
      <c r="Y43" s="240"/>
      <c r="Z43" s="127"/>
    </row>
    <row r="44" spans="2:28" ht="13" x14ac:dyDescent="0.3">
      <c r="B44" s="133" t="s">
        <v>658</v>
      </c>
      <c r="C44" s="142" t="s">
        <v>680</v>
      </c>
      <c r="D44" s="482">
        <v>3</v>
      </c>
      <c r="E44" s="482">
        <v>2</v>
      </c>
      <c r="F44" s="135"/>
      <c r="G44" s="135"/>
      <c r="H44" s="138"/>
      <c r="I44" s="135">
        <v>0</v>
      </c>
      <c r="J44" s="135">
        <v>0</v>
      </c>
      <c r="K44" s="138">
        <f>(I44+J44)</f>
        <v>0</v>
      </c>
      <c r="L44" s="135">
        <v>0</v>
      </c>
      <c r="M44" s="135">
        <v>0</v>
      </c>
      <c r="N44" s="138">
        <f>(L44+M44)</f>
        <v>0</v>
      </c>
      <c r="O44" s="135"/>
      <c r="P44" s="135"/>
      <c r="Q44" s="138"/>
      <c r="R44" s="135"/>
      <c r="S44" s="135"/>
      <c r="T44" s="138"/>
      <c r="U44" s="135"/>
      <c r="V44" s="135"/>
      <c r="W44" s="138"/>
      <c r="X44" s="139">
        <f t="shared" si="1"/>
        <v>0</v>
      </c>
      <c r="Y44" s="240"/>
      <c r="Z44" s="127"/>
    </row>
    <row r="45" spans="2:28" ht="13" x14ac:dyDescent="0.3">
      <c r="B45" s="133" t="s">
        <v>658</v>
      </c>
      <c r="C45" s="142" t="s">
        <v>410</v>
      </c>
      <c r="D45" s="227">
        <v>3</v>
      </c>
      <c r="E45" s="227">
        <v>2</v>
      </c>
      <c r="F45" s="135"/>
      <c r="G45" s="135"/>
      <c r="H45" s="138"/>
      <c r="I45" s="135"/>
      <c r="J45" s="135"/>
      <c r="K45" s="138"/>
      <c r="L45" s="135">
        <v>0</v>
      </c>
      <c r="M45" s="135">
        <v>0</v>
      </c>
      <c r="N45" s="138">
        <f>(L45+M45)</f>
        <v>0</v>
      </c>
      <c r="O45" s="135"/>
      <c r="P45" s="135"/>
      <c r="Q45" s="138"/>
      <c r="R45" s="135"/>
      <c r="S45" s="135"/>
      <c r="T45" s="138"/>
      <c r="U45" s="135"/>
      <c r="V45" s="135"/>
      <c r="W45" s="138"/>
      <c r="X45" s="139">
        <f t="shared" si="1"/>
        <v>0</v>
      </c>
      <c r="Y45" s="240"/>
      <c r="Z45" s="127"/>
    </row>
    <row r="46" spans="2:28" ht="13" x14ac:dyDescent="0.3">
      <c r="B46" s="133" t="s">
        <v>658</v>
      </c>
      <c r="C46" s="142" t="s">
        <v>702</v>
      </c>
      <c r="D46" s="227">
        <v>3</v>
      </c>
      <c r="E46" s="227">
        <v>2</v>
      </c>
      <c r="F46" s="135"/>
      <c r="G46" s="135"/>
      <c r="H46" s="138"/>
      <c r="I46" s="135"/>
      <c r="J46" s="135"/>
      <c r="K46" s="138"/>
      <c r="L46" s="135">
        <v>0</v>
      </c>
      <c r="M46" s="135">
        <v>0</v>
      </c>
      <c r="N46" s="138">
        <f>(L46+M46)</f>
        <v>0</v>
      </c>
      <c r="O46" s="135"/>
      <c r="P46" s="135"/>
      <c r="Q46" s="138"/>
      <c r="R46" s="135"/>
      <c r="S46" s="135"/>
      <c r="T46" s="138"/>
      <c r="U46" s="135"/>
      <c r="V46" s="135"/>
      <c r="W46" s="138"/>
      <c r="X46" s="139">
        <f t="shared" si="1"/>
        <v>0</v>
      </c>
      <c r="Y46" s="240"/>
      <c r="Z46" s="127"/>
    </row>
    <row r="47" spans="2:28" x14ac:dyDescent="0.3">
      <c r="B47" s="156"/>
      <c r="C47" s="3"/>
      <c r="D47" s="3"/>
      <c r="E47" s="3"/>
      <c r="F47" s="3"/>
      <c r="G47" s="3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2:28" x14ac:dyDescent="0.3">
      <c r="B48" s="156"/>
      <c r="C48" s="3"/>
      <c r="D48" s="3"/>
      <c r="E48" s="3"/>
      <c r="F48" s="3"/>
      <c r="G48" s="3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2:29" ht="12" x14ac:dyDescent="0.3">
      <c r="B49" s="156"/>
      <c r="C49" s="3"/>
      <c r="D49" s="284"/>
      <c r="E49" s="285" t="s">
        <v>534</v>
      </c>
      <c r="F49" s="3"/>
      <c r="G49" s="3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2:29" ht="2.5" customHeight="1" x14ac:dyDescent="0.3">
      <c r="B50" s="1"/>
      <c r="C50" s="156"/>
      <c r="D50" s="2"/>
      <c r="E50" s="2"/>
      <c r="F50" s="2"/>
      <c r="G50" s="2"/>
      <c r="H50" s="3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5"/>
      <c r="AC50" s="2"/>
    </row>
    <row r="51" spans="2:29" ht="12.75" customHeight="1" x14ac:dyDescent="0.3">
      <c r="B51" s="1"/>
      <c r="C51" s="236"/>
      <c r="D51" s="142" t="s">
        <v>691</v>
      </c>
      <c r="E51" s="130" t="s">
        <v>692</v>
      </c>
      <c r="F51" s="2"/>
      <c r="G51" s="2"/>
      <c r="H51" s="3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5"/>
      <c r="AC51" s="2"/>
    </row>
    <row r="52" spans="2:29" ht="12.75" customHeight="1" x14ac:dyDescent="0.3">
      <c r="B52" s="1"/>
      <c r="C52" s="236"/>
      <c r="D52" s="155"/>
      <c r="E52" s="2"/>
      <c r="F52" s="2"/>
      <c r="G52" s="2"/>
      <c r="H52" s="3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5"/>
      <c r="AC52" s="2"/>
    </row>
    <row r="53" spans="2:29" ht="39" customHeight="1" x14ac:dyDescent="0.55000000000000004">
      <c r="B53" s="164" t="s">
        <v>516</v>
      </c>
      <c r="C53" s="165"/>
      <c r="D53" s="165"/>
      <c r="E53" s="165"/>
      <c r="F53" s="165"/>
      <c r="G53" s="165"/>
      <c r="H53" s="165"/>
      <c r="I53" s="165"/>
      <c r="J53" s="165"/>
      <c r="K53" s="165"/>
      <c r="L53" s="165"/>
      <c r="M53" s="165"/>
      <c r="N53" s="165"/>
      <c r="O53" s="165"/>
      <c r="P53" s="165"/>
      <c r="Q53" s="165"/>
      <c r="R53" s="165"/>
      <c r="S53" s="165"/>
      <c r="T53" s="165"/>
      <c r="U53" s="165"/>
      <c r="V53" s="165"/>
      <c r="W53" s="165"/>
      <c r="X53" s="165"/>
    </row>
    <row r="54" spans="2:29" ht="37.5" customHeight="1" x14ac:dyDescent="0.3">
      <c r="B54" s="166" t="s">
        <v>337</v>
      </c>
      <c r="C54" s="167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  <c r="V54" s="167"/>
      <c r="W54" s="167"/>
      <c r="X54" s="167"/>
      <c r="Y54" s="30"/>
      <c r="Z54" s="30"/>
    </row>
    <row r="55" spans="2:29" ht="12.75" customHeight="1" x14ac:dyDescent="0.3">
      <c r="B55" s="162"/>
      <c r="C55" s="168"/>
      <c r="D55" s="161"/>
      <c r="E55" s="161"/>
      <c r="F55" s="222" t="s">
        <v>220</v>
      </c>
      <c r="G55" s="223"/>
      <c r="H55" s="224"/>
      <c r="I55" s="222" t="s">
        <v>663</v>
      </c>
      <c r="J55" s="225"/>
      <c r="K55" s="226"/>
      <c r="L55" s="222" t="s">
        <v>532</v>
      </c>
      <c r="M55" s="225"/>
      <c r="N55" s="226"/>
      <c r="O55" s="222" t="s">
        <v>526</v>
      </c>
      <c r="P55" s="225"/>
      <c r="Q55" s="226"/>
      <c r="R55" s="222" t="s">
        <v>287</v>
      </c>
      <c r="S55" s="225"/>
      <c r="T55" s="226"/>
      <c r="U55" s="413" t="s">
        <v>527</v>
      </c>
      <c r="V55" s="226"/>
      <c r="W55" s="226"/>
      <c r="X55" s="161" t="s">
        <v>213</v>
      </c>
      <c r="Y55" s="30"/>
      <c r="Z55" s="30"/>
    </row>
    <row r="56" spans="2:29" ht="12.75" customHeight="1" x14ac:dyDescent="0.3">
      <c r="B56" s="159" t="s">
        <v>0</v>
      </c>
      <c r="C56" s="170" t="s">
        <v>1</v>
      </c>
      <c r="D56" s="160" t="s">
        <v>2</v>
      </c>
      <c r="E56" s="160" t="s">
        <v>3</v>
      </c>
      <c r="F56" s="217" t="s">
        <v>523</v>
      </c>
      <c r="G56" s="218"/>
      <c r="H56" s="219"/>
      <c r="I56" s="217" t="s">
        <v>525</v>
      </c>
      <c r="J56" s="220"/>
      <c r="K56" s="221"/>
      <c r="L56" s="217" t="s">
        <v>664</v>
      </c>
      <c r="M56" s="220"/>
      <c r="N56" s="221"/>
      <c r="O56" s="217" t="s">
        <v>529</v>
      </c>
      <c r="P56" s="220"/>
      <c r="Q56" s="221"/>
      <c r="R56" s="217" t="s">
        <v>530</v>
      </c>
      <c r="S56" s="220"/>
      <c r="T56" s="221"/>
      <c r="U56" s="414" t="s">
        <v>528</v>
      </c>
      <c r="V56" s="255"/>
      <c r="W56" s="415"/>
      <c r="X56" s="160" t="s">
        <v>9</v>
      </c>
      <c r="Y56" s="519" t="s">
        <v>223</v>
      </c>
      <c r="Z56" s="521" t="s">
        <v>4</v>
      </c>
    </row>
    <row r="57" spans="2:29" ht="12.75" customHeight="1" thickBot="1" x14ac:dyDescent="0.35">
      <c r="B57" s="163"/>
      <c r="C57" s="169"/>
      <c r="D57" s="157"/>
      <c r="E57" s="476"/>
      <c r="F57" s="131" t="s">
        <v>33</v>
      </c>
      <c r="G57" s="131" t="s">
        <v>34</v>
      </c>
      <c r="H57" s="132" t="s">
        <v>35</v>
      </c>
      <c r="I57" s="131" t="s">
        <v>33</v>
      </c>
      <c r="J57" s="131" t="s">
        <v>34</v>
      </c>
      <c r="K57" s="132" t="s">
        <v>35</v>
      </c>
      <c r="L57" s="131" t="s">
        <v>33</v>
      </c>
      <c r="M57" s="131" t="s">
        <v>34</v>
      </c>
      <c r="N57" s="132" t="s">
        <v>35</v>
      </c>
      <c r="O57" s="131" t="s">
        <v>33</v>
      </c>
      <c r="P57" s="131" t="s">
        <v>34</v>
      </c>
      <c r="Q57" s="132" t="s">
        <v>35</v>
      </c>
      <c r="R57" s="131" t="s">
        <v>33</v>
      </c>
      <c r="S57" s="131" t="s">
        <v>34</v>
      </c>
      <c r="T57" s="132" t="s">
        <v>35</v>
      </c>
      <c r="U57" s="131" t="s">
        <v>33</v>
      </c>
      <c r="V57" s="131" t="s">
        <v>34</v>
      </c>
      <c r="W57" s="132" t="s">
        <v>35</v>
      </c>
      <c r="X57" s="157"/>
      <c r="Y57" s="520"/>
      <c r="Z57" s="522"/>
    </row>
    <row r="58" spans="2:29" ht="12.75" customHeight="1" thickBot="1" x14ac:dyDescent="0.35">
      <c r="B58" s="133">
        <v>1</v>
      </c>
      <c r="C58" s="142" t="s">
        <v>574</v>
      </c>
      <c r="D58" s="478">
        <f>IFERROR(VLOOKUP(C58,Tabla15[[Piloto]:[Puntos clase]],7, FALSE), " ")</f>
        <v>2</v>
      </c>
      <c r="E58" s="477" t="str">
        <f>LEFT(AB58,LEN(AB58)-2)</f>
        <v>2</v>
      </c>
      <c r="F58" s="475">
        <f>IFERROR(VLOOKUP(C58,'01_RS ALCARRIA'!$D$6:$M$36,10,FALSE),"")</f>
        <v>25</v>
      </c>
      <c r="G58" s="135">
        <f>IFERROR(VLOOKUP(C58,'01_RS ALCARRIA'!$D$6:$O$36,12,FALSE),"")</f>
        <v>10</v>
      </c>
      <c r="H58" s="138">
        <f>(F58+G58)*2</f>
        <v>70</v>
      </c>
      <c r="I58" s="135">
        <f>IFERROR(VLOOKUP(C58,'02_TCT GUADAMUR'!$D$6:$M$36,10,FALSE),"")</f>
        <v>17</v>
      </c>
      <c r="J58" s="135">
        <f>IFERROR(VLOOKUP(C58,'02_TCT GUADAMUR'!$D$6:$O$36,12,FALSE),"")</f>
        <v>6</v>
      </c>
      <c r="K58" s="138">
        <f t="shared" ref="K58:K63" si="8">(I58+J58)</f>
        <v>23</v>
      </c>
      <c r="L58" s="135">
        <f>IFERROR(VLOOKUP(C58,'03_TCT MAQUEDA'!$D$6:$M$36,10,FALSE),"")</f>
        <v>17</v>
      </c>
      <c r="M58" s="135">
        <f>IFERROR(VLOOKUP(C58,'03_TCT MAQUEDA'!$D$6:$O$36,12,FALSE),"")</f>
        <v>10</v>
      </c>
      <c r="N58" s="138">
        <f>(L58+M58)</f>
        <v>27</v>
      </c>
      <c r="O58" s="135"/>
      <c r="P58" s="135"/>
      <c r="Q58" s="138"/>
      <c r="R58" s="135"/>
      <c r="S58" s="135"/>
      <c r="T58" s="138"/>
      <c r="U58" s="135"/>
      <c r="V58" s="135"/>
      <c r="W58" s="138"/>
      <c r="X58" s="139">
        <f t="shared" ref="X58:X99" si="9">H58+K58+N58+Q58+T58+W58</f>
        <v>120</v>
      </c>
      <c r="Y58" s="140" t="str">
        <f>IF(Z58&gt;=3,"Sí","No")</f>
        <v>Sí</v>
      </c>
      <c r="Z58" s="141">
        <f>COUNTA(H58,K58,N58,Q58,T58,W58)</f>
        <v>3</v>
      </c>
      <c r="AB58" s="261" t="str">
        <f>IFERROR(VLOOKUP(C58,Tabla15[[Piloto]:[Puntos clase]],6, FALSE), " ")</f>
        <v>2RM</v>
      </c>
    </row>
    <row r="59" spans="2:29" ht="12.75" customHeight="1" x14ac:dyDescent="0.3">
      <c r="B59" s="133">
        <v>2</v>
      </c>
      <c r="C59" s="134" t="s">
        <v>576</v>
      </c>
      <c r="D59" s="482">
        <f>IFERROR(VLOOKUP(C59,Tabla15[[Piloto]:[Puntos clase]],7, FALSE), " ")</f>
        <v>2</v>
      </c>
      <c r="E59" s="483" t="str">
        <f>LEFT(AB59,LEN(AB59)-2)</f>
        <v>2</v>
      </c>
      <c r="F59" s="135">
        <f>IFERROR(VLOOKUP(C59,'01_RS ALCARRIA'!$D$6:$M$36,10,FALSE),"")</f>
        <v>20</v>
      </c>
      <c r="G59" s="135">
        <f>IFERROR(VLOOKUP(C59,'01_RS ALCARRIA'!$D$6:$O$36,12,FALSE),"")</f>
        <v>8</v>
      </c>
      <c r="H59" s="138">
        <f>(F59+G59)*2</f>
        <v>56</v>
      </c>
      <c r="I59" s="135">
        <f>IFERROR(VLOOKUP(C59,'02_TCT GUADAMUR'!$D$6:$M$36,10,FALSE),"")</f>
        <v>25</v>
      </c>
      <c r="J59" s="135">
        <f>IFERROR(VLOOKUP(C59,'02_TCT GUADAMUR'!$D$6:$O$36,12,FALSE),"")</f>
        <v>10</v>
      </c>
      <c r="K59" s="138">
        <f t="shared" si="8"/>
        <v>35</v>
      </c>
      <c r="L59" s="135">
        <f>IFERROR(VLOOKUP(C59,'03_TCT MAQUEDA'!$D$6:$M$36,10,FALSE),"")</f>
        <v>15</v>
      </c>
      <c r="M59" s="135">
        <f>IFERROR(VLOOKUP(C59,'03_TCT MAQUEDA'!$D$6:$O$36,12,FALSE),"")</f>
        <v>8</v>
      </c>
      <c r="N59" s="138">
        <f>(L59+M59)</f>
        <v>23</v>
      </c>
      <c r="O59" s="135"/>
      <c r="P59" s="135"/>
      <c r="Q59" s="138"/>
      <c r="R59" s="135"/>
      <c r="S59" s="135"/>
      <c r="T59" s="138"/>
      <c r="U59" s="135"/>
      <c r="V59" s="135"/>
      <c r="W59" s="138"/>
      <c r="X59" s="139">
        <f t="shared" si="9"/>
        <v>114</v>
      </c>
      <c r="Y59" s="140" t="str">
        <f t="shared" ref="Y59:Y95" si="10">IF(Z59&gt;=3,"Sí","No")</f>
        <v>Sí</v>
      </c>
      <c r="Z59" s="141">
        <f t="shared" ref="Z59:Z95" si="11">COUNTA(H59,K59,N59,Q59,T59,W59)</f>
        <v>3</v>
      </c>
      <c r="AA59" s="5"/>
      <c r="AB59" s="261" t="str">
        <f>IFERROR(VLOOKUP(C59,Tabla15[[Piloto]:[Puntos clase]],6, FALSE), " ")</f>
        <v>2RM</v>
      </c>
      <c r="AC59" s="2"/>
    </row>
    <row r="60" spans="2:29" ht="12.75" customHeight="1" x14ac:dyDescent="0.3">
      <c r="B60" s="133">
        <v>1</v>
      </c>
      <c r="C60" s="134" t="s">
        <v>368</v>
      </c>
      <c r="D60" s="479">
        <f>IFERROR(VLOOKUP(C60,Tabla15[[Piloto]:[Puntos clase]],7, FALSE), " ")</f>
        <v>3</v>
      </c>
      <c r="E60" s="482" t="str">
        <f>LEFT(AB60,LEN(AB60)-2)</f>
        <v>2</v>
      </c>
      <c r="F60" s="135">
        <f>IFERROR(VLOOKUP(C60,'01_RS ALCARRIA'!$D$6:$M$36,10,FALSE),"")</f>
        <v>10</v>
      </c>
      <c r="G60" s="135">
        <f>IFERROR(VLOOKUP(C60,'01_RS ALCARRIA'!$D$6:$O$36,12,FALSE),"")</f>
        <v>10</v>
      </c>
      <c r="H60" s="138">
        <f>(F60+G60)*2</f>
        <v>40</v>
      </c>
      <c r="I60" s="135">
        <f>IFERROR(VLOOKUP(C60,'02_TCT GUADAMUR'!$D$6:$M$36,10,FALSE),"")</f>
        <v>10</v>
      </c>
      <c r="J60" s="135">
        <f>IFERROR(VLOOKUP(C60,'02_TCT GUADAMUR'!$D$6:$O$36,12,FALSE),"")</f>
        <v>8</v>
      </c>
      <c r="K60" s="138">
        <f t="shared" si="8"/>
        <v>18</v>
      </c>
      <c r="L60" s="135">
        <f>IFERROR(VLOOKUP(C60,'03_TCT MAQUEDA'!$D$6:$M$36,10,FALSE),"")</f>
        <v>8</v>
      </c>
      <c r="M60" s="135">
        <f>IFERROR(VLOOKUP(C60,'03_TCT MAQUEDA'!$D$6:$O$36,12,FALSE),"")</f>
        <v>10</v>
      </c>
      <c r="N60" s="138">
        <f>(L60+M60)</f>
        <v>18</v>
      </c>
      <c r="O60" s="135"/>
      <c r="P60" s="135"/>
      <c r="Q60" s="138"/>
      <c r="R60" s="135"/>
      <c r="S60" s="135"/>
      <c r="T60" s="138"/>
      <c r="U60" s="135"/>
      <c r="V60" s="135"/>
      <c r="W60" s="138"/>
      <c r="X60" s="139">
        <f t="shared" si="9"/>
        <v>76</v>
      </c>
      <c r="Y60" s="140" t="str">
        <f t="shared" si="10"/>
        <v>Sí</v>
      </c>
      <c r="Z60" s="141">
        <f t="shared" si="11"/>
        <v>3</v>
      </c>
      <c r="AA60" s="5"/>
      <c r="AB60" s="261" t="str">
        <f>IFERROR(VLOOKUP(C60,Tabla15[[Piloto]:[Puntos clase]],6, FALSE), " ")</f>
        <v>2RM</v>
      </c>
      <c r="AC60" s="2"/>
    </row>
    <row r="61" spans="2:29" ht="12.75" customHeight="1" x14ac:dyDescent="0.3">
      <c r="B61" s="133">
        <v>1</v>
      </c>
      <c r="C61" s="134" t="s">
        <v>174</v>
      </c>
      <c r="D61" s="479">
        <f>IFERROR(VLOOKUP(C61,Tabla15[[Piloto]:[Puntos clase]],7, FALSE), " ")</f>
        <v>1</v>
      </c>
      <c r="E61" s="482" t="str">
        <f>LEFT(AB61,LEN(AB61)-2)</f>
        <v>4</v>
      </c>
      <c r="F61" s="135">
        <f>IFERROR(VLOOKUP(C61,'01_RS ALCARRIA'!$D$6:$M$36,10,FALSE),"")</f>
        <v>12</v>
      </c>
      <c r="G61" s="284">
        <f>IFERROR(VLOOKUP(C61,'01_RS ALCARRIA'!$D$6:$O$36,12,FALSE),"")/2</f>
        <v>4</v>
      </c>
      <c r="H61" s="138">
        <f>(F61+G61)*2</f>
        <v>32</v>
      </c>
      <c r="I61" s="135">
        <f>IFERROR(VLOOKUP(C61,'02_TCT GUADAMUR'!$D$6:$M$36,10,FALSE),"")</f>
        <v>15</v>
      </c>
      <c r="J61" s="135">
        <f>IFERROR(VLOOKUP(C61,'02_TCT GUADAMUR'!$D$6:$O$36,12,FALSE),"")</f>
        <v>10</v>
      </c>
      <c r="K61" s="138">
        <f t="shared" si="8"/>
        <v>25</v>
      </c>
      <c r="L61" s="135">
        <v>0</v>
      </c>
      <c r="M61" s="135">
        <v>0</v>
      </c>
      <c r="N61" s="138">
        <f>(L61+M61)</f>
        <v>0</v>
      </c>
      <c r="O61" s="135"/>
      <c r="P61" s="135"/>
      <c r="Q61" s="138"/>
      <c r="R61" s="135"/>
      <c r="S61" s="135"/>
      <c r="T61" s="138"/>
      <c r="U61" s="135"/>
      <c r="V61" s="135"/>
      <c r="W61" s="138"/>
      <c r="X61" s="139">
        <f t="shared" si="9"/>
        <v>57</v>
      </c>
      <c r="Y61" s="140" t="str">
        <f t="shared" si="10"/>
        <v>Sí</v>
      </c>
      <c r="Z61" s="141">
        <f t="shared" si="11"/>
        <v>3</v>
      </c>
      <c r="AA61" s="5"/>
      <c r="AB61" s="261" t="str">
        <f>IFERROR(VLOOKUP(C61,Tabla15[[Piloto]:[Puntos clase]],6, FALSE), " ")</f>
        <v>4RM</v>
      </c>
      <c r="AC61" s="2"/>
    </row>
    <row r="62" spans="2:29" ht="12.75" customHeight="1" x14ac:dyDescent="0.3">
      <c r="B62" s="133">
        <v>1</v>
      </c>
      <c r="C62" s="142" t="s">
        <v>597</v>
      </c>
      <c r="D62" s="479">
        <f>IFERROR(VLOOKUP(C62,Tabla15[[Piloto]:[Puntos clase]],7, FALSE), " ")</f>
        <v>5</v>
      </c>
      <c r="E62" s="482" t="str">
        <f>LEFT(AB62,LEN(AB62)-2)</f>
        <v>2</v>
      </c>
      <c r="F62" s="135">
        <f>IFERROR(VLOOKUP(C62,'01_RS ALCARRIA'!$D$6:$M$36,10,FALSE),"")</f>
        <v>4</v>
      </c>
      <c r="G62" s="135">
        <f>IFERROR(VLOOKUP(C62,'01_RS ALCARRIA'!$D$6:$O$36,12,FALSE),"")</f>
        <v>10</v>
      </c>
      <c r="H62" s="138">
        <f>(F62+G62)*2</f>
        <v>28</v>
      </c>
      <c r="I62" s="135">
        <f>IFERROR(VLOOKUP(C62,'02_TCT GUADAMUR'!$D$6:$M$36,10,FALSE),"")</f>
        <v>8</v>
      </c>
      <c r="J62" s="135">
        <f>IFERROR(VLOOKUP(C62,'02_TCT GUADAMUR'!$D$6:$O$36,12,FALSE),"")</f>
        <v>10</v>
      </c>
      <c r="K62" s="138">
        <f t="shared" si="8"/>
        <v>18</v>
      </c>
      <c r="L62" s="135"/>
      <c r="M62" s="135"/>
      <c r="N62" s="138"/>
      <c r="O62" s="135"/>
      <c r="P62" s="135"/>
      <c r="Q62" s="138"/>
      <c r="R62" s="135"/>
      <c r="S62" s="135"/>
      <c r="T62" s="138"/>
      <c r="U62" s="135"/>
      <c r="V62" s="135"/>
      <c r="W62" s="138"/>
      <c r="X62" s="139">
        <f t="shared" si="9"/>
        <v>46</v>
      </c>
      <c r="Y62" s="140" t="str">
        <f t="shared" si="10"/>
        <v>No</v>
      </c>
      <c r="Z62" s="141">
        <f t="shared" si="11"/>
        <v>2</v>
      </c>
      <c r="AB62" s="261" t="str">
        <f>IFERROR(VLOOKUP(C62,Tabla15[[Piloto]:[Puntos clase]],6, FALSE), " ")</f>
        <v>2RM</v>
      </c>
    </row>
    <row r="63" spans="2:29" ht="12.75" customHeight="1" x14ac:dyDescent="0.3">
      <c r="B63" s="133">
        <v>3</v>
      </c>
      <c r="C63" s="142" t="s">
        <v>668</v>
      </c>
      <c r="D63" s="482">
        <v>2</v>
      </c>
      <c r="E63" s="482">
        <v>2</v>
      </c>
      <c r="F63" s="138"/>
      <c r="G63" s="135"/>
      <c r="H63" s="135"/>
      <c r="I63" s="135">
        <f>IFERROR(VLOOKUP(C63,'02_TCT GUADAMUR'!$D$6:$M$36,10,FALSE),"")</f>
        <v>20</v>
      </c>
      <c r="J63" s="135">
        <f>IFERROR(VLOOKUP(C63,'02_TCT GUADAMUR'!$D$6:$O$36,12,FALSE),"")</f>
        <v>8</v>
      </c>
      <c r="K63" s="138">
        <f t="shared" si="8"/>
        <v>28</v>
      </c>
      <c r="L63" s="135">
        <f>IFERROR(VLOOKUP(C63,'03_TCT MAQUEDA'!$D$6:$M$36,10,FALSE),"")</f>
        <v>12</v>
      </c>
      <c r="M63" s="135">
        <f>IFERROR(VLOOKUP(C63,'03_TCT MAQUEDA'!$D$6:$O$36,12,FALSE),"")</f>
        <v>6</v>
      </c>
      <c r="N63" s="138">
        <f>(L63+M63)</f>
        <v>18</v>
      </c>
      <c r="O63" s="135"/>
      <c r="P63" s="135"/>
      <c r="Q63" s="138"/>
      <c r="R63" s="135"/>
      <c r="S63" s="135"/>
      <c r="T63" s="138"/>
      <c r="U63" s="135"/>
      <c r="V63" s="135"/>
      <c r="W63" s="138"/>
      <c r="X63" s="139">
        <f t="shared" si="9"/>
        <v>46</v>
      </c>
      <c r="Y63" s="140" t="str">
        <f t="shared" si="10"/>
        <v>No</v>
      </c>
      <c r="Z63" s="141">
        <f t="shared" si="11"/>
        <v>2</v>
      </c>
      <c r="AB63" s="261" t="str">
        <f>IFERROR(VLOOKUP(C63,Tabla15[[Piloto]:[Puntos clase]],6, FALSE), " ")</f>
        <v xml:space="preserve"> </v>
      </c>
    </row>
    <row r="64" spans="2:29" ht="12.75" customHeight="1" x14ac:dyDescent="0.3">
      <c r="B64" s="133">
        <v>2</v>
      </c>
      <c r="C64" s="142" t="s">
        <v>654</v>
      </c>
      <c r="D64" s="482">
        <f>IFERROR(VLOOKUP(C64,Tabla15[[Piloto]:[Puntos clase]],7, FALSE), " ")</f>
        <v>1</v>
      </c>
      <c r="E64" s="482" t="str">
        <f>LEFT(AB64,LEN(AB64)-2)</f>
        <v>4</v>
      </c>
      <c r="F64" s="135">
        <f>IFERROR(VLOOKUP(C64,'01_RS ALCARRIA'!$D$6:$M$36,10,FALSE),"")</f>
        <v>17</v>
      </c>
      <c r="G64" s="284">
        <f>IFERROR(VLOOKUP(C64,'01_RS ALCARRIA'!$D$6:$O$36,12,FALSE),"")/2</f>
        <v>5</v>
      </c>
      <c r="H64" s="138">
        <f>(F64+G64)*2</f>
        <v>44</v>
      </c>
      <c r="I64" s="135"/>
      <c r="J64" s="135"/>
      <c r="K64" s="138"/>
      <c r="L64" s="135"/>
      <c r="M64" s="135"/>
      <c r="N64" s="138"/>
      <c r="O64" s="135"/>
      <c r="P64" s="135"/>
      <c r="Q64" s="138"/>
      <c r="R64" s="135"/>
      <c r="S64" s="135"/>
      <c r="T64" s="138"/>
      <c r="U64" s="135"/>
      <c r="V64" s="135"/>
      <c r="W64" s="138"/>
      <c r="X64" s="139">
        <f t="shared" si="9"/>
        <v>44</v>
      </c>
      <c r="Y64" s="140" t="str">
        <f t="shared" si="10"/>
        <v>No</v>
      </c>
      <c r="Z64" s="141">
        <f t="shared" si="11"/>
        <v>1</v>
      </c>
      <c r="AB64" s="261" t="str">
        <f>IFERROR(VLOOKUP(C64,Tabla15[[Piloto]:[Puntos clase]],6, FALSE), " ")</f>
        <v>4RM</v>
      </c>
    </row>
    <row r="65" spans="2:28" ht="12.75" customHeight="1" x14ac:dyDescent="0.3">
      <c r="B65" s="133">
        <v>4</v>
      </c>
      <c r="C65" s="142" t="s">
        <v>585</v>
      </c>
      <c r="D65" s="482">
        <v>2</v>
      </c>
      <c r="E65" s="482">
        <v>2</v>
      </c>
      <c r="F65" s="135">
        <f>IFERROR(VLOOKUP(C65,'01_RS ALCARRIA'!$D$6:$M$36,10,FALSE),"")</f>
        <v>15</v>
      </c>
      <c r="G65" s="135">
        <f>IFERROR(VLOOKUP(C65,'01_RS ALCARRIA'!$D$6:$O$36,12,FALSE),"")</f>
        <v>6</v>
      </c>
      <c r="H65" s="138">
        <f>(F65+G65)*2</f>
        <v>42</v>
      </c>
      <c r="I65" s="135"/>
      <c r="J65" s="135"/>
      <c r="K65" s="138"/>
      <c r="L65" s="135"/>
      <c r="M65" s="135"/>
      <c r="N65" s="138"/>
      <c r="O65" s="135"/>
      <c r="P65" s="135"/>
      <c r="Q65" s="138"/>
      <c r="R65" s="135"/>
      <c r="S65" s="135"/>
      <c r="T65" s="138"/>
      <c r="U65" s="135"/>
      <c r="V65" s="135"/>
      <c r="W65" s="138"/>
      <c r="X65" s="139">
        <f t="shared" si="9"/>
        <v>42</v>
      </c>
      <c r="Y65" s="140" t="str">
        <f t="shared" si="10"/>
        <v>No</v>
      </c>
      <c r="Z65" s="141">
        <f t="shared" si="11"/>
        <v>1</v>
      </c>
      <c r="AB65" s="261" t="str">
        <f>IFERROR(VLOOKUP(C65,Tabla15[[Piloto]:[Puntos clase]],6, FALSE), " ")</f>
        <v>2RM</v>
      </c>
    </row>
    <row r="66" spans="2:28" ht="12.75" customHeight="1" x14ac:dyDescent="0.3">
      <c r="B66" s="133">
        <v>1</v>
      </c>
      <c r="C66" s="155" t="s">
        <v>283</v>
      </c>
      <c r="D66" s="479">
        <f>IFERROR(VLOOKUP(C66,Tabla15[[Piloto]:[Puntos clase]],7, FALSE), " ")</f>
        <v>4</v>
      </c>
      <c r="E66" s="482" t="str">
        <f>LEFT(AB66,LEN(AB66)-2)</f>
        <v>2</v>
      </c>
      <c r="F66" s="135">
        <f>IFERROR(VLOOKUP(C66,'01_RS ALCARRIA'!$D$6:$M$36,10,FALSE),"")</f>
        <v>3</v>
      </c>
      <c r="G66" s="135">
        <f>IFERROR(VLOOKUP(C66,'01_RS ALCARRIA'!$D$6:$O$36,12,FALSE),"")</f>
        <v>10</v>
      </c>
      <c r="H66" s="138">
        <f>(F66+G66)*2</f>
        <v>26</v>
      </c>
      <c r="I66" s="135">
        <f>IFERROR(VLOOKUP(C66,'02_TCT GUADAMUR'!$D$6:$M$36,10,FALSE),"")</f>
        <v>6</v>
      </c>
      <c r="J66" s="135">
        <f>IFERROR(VLOOKUP(C66,'02_TCT GUADAMUR'!$D$6:$O$36,12,FALSE),"")</f>
        <v>10</v>
      </c>
      <c r="K66" s="138">
        <f>(I66+J66)</f>
        <v>16</v>
      </c>
      <c r="L66" s="135"/>
      <c r="M66" s="135"/>
      <c r="N66" s="138"/>
      <c r="O66" s="135"/>
      <c r="P66" s="135"/>
      <c r="Q66" s="138"/>
      <c r="R66" s="135"/>
      <c r="S66" s="135"/>
      <c r="T66" s="138"/>
      <c r="U66" s="135"/>
      <c r="V66" s="135"/>
      <c r="W66" s="138"/>
      <c r="X66" s="139">
        <f t="shared" si="9"/>
        <v>42</v>
      </c>
      <c r="Y66" s="140" t="str">
        <f t="shared" si="10"/>
        <v>No</v>
      </c>
      <c r="Z66" s="141">
        <f t="shared" si="11"/>
        <v>2</v>
      </c>
      <c r="AB66" s="261" t="str">
        <f>IFERROR(VLOOKUP(C66,Tabla15[[Piloto]:[Puntos clase]],6, FALSE), " ")</f>
        <v>2RM</v>
      </c>
    </row>
    <row r="67" spans="2:28" ht="12.75" customHeight="1" x14ac:dyDescent="0.3">
      <c r="B67" s="133">
        <v>2</v>
      </c>
      <c r="C67" s="142" t="s">
        <v>332</v>
      </c>
      <c r="D67" s="482">
        <f>IFERROR(VLOOKUP(C67,Tabla15[[Piloto]:[Puntos clase]],7, FALSE), " ")</f>
        <v>4</v>
      </c>
      <c r="E67" s="482" t="str">
        <f>LEFT(AB67,LEN(AB67)-2)</f>
        <v>2</v>
      </c>
      <c r="F67" s="135">
        <f>IFERROR(VLOOKUP(C67,'01_RS ALCARRIA'!$D$6:$M$36,10,FALSE),"")</f>
        <v>2</v>
      </c>
      <c r="G67" s="135">
        <f>IFERROR(VLOOKUP(C67,'01_RS ALCARRIA'!$D$6:$O$36,12,FALSE),"")</f>
        <v>8</v>
      </c>
      <c r="H67" s="138">
        <f>(F67+G67)*2</f>
        <v>20</v>
      </c>
      <c r="I67" s="135">
        <f>IFERROR(VLOOKUP(C67,'02_TCT GUADAMUR'!$D$6:$M$36,10,FALSE),"")</f>
        <v>1</v>
      </c>
      <c r="J67" s="135">
        <f>IFERROR(VLOOKUP(C67,'02_TCT GUADAMUR'!$D$6:$O$36,12,FALSE),"")</f>
        <v>8</v>
      </c>
      <c r="K67" s="138">
        <f>(I67+J67)</f>
        <v>9</v>
      </c>
      <c r="L67" s="135">
        <f>IFERROR(VLOOKUP(C67,'03_TCT MAQUEDA'!$D$6:$M$36,10,FALSE),"")</f>
        <v>5</v>
      </c>
      <c r="M67" s="135">
        <f>IFERROR(VLOOKUP(C67,'03_TCT MAQUEDA'!$D$6:$O$36,12,FALSE),"")</f>
        <v>8</v>
      </c>
      <c r="N67" s="138">
        <f>(L67+M67)</f>
        <v>13</v>
      </c>
      <c r="O67" s="135"/>
      <c r="P67" s="135"/>
      <c r="Q67" s="138"/>
      <c r="R67" s="135"/>
      <c r="S67" s="135"/>
      <c r="T67" s="138"/>
      <c r="U67" s="135"/>
      <c r="V67" s="135"/>
      <c r="W67" s="138"/>
      <c r="X67" s="139">
        <f t="shared" si="9"/>
        <v>42</v>
      </c>
      <c r="Y67" s="140" t="str">
        <f t="shared" si="10"/>
        <v>Sí</v>
      </c>
      <c r="Z67" s="141">
        <f t="shared" si="11"/>
        <v>3</v>
      </c>
      <c r="AB67" s="261" t="str">
        <f>IFERROR(VLOOKUP(C67,Tabla15[[Piloto]:[Puntos clase]],6, FALSE), " ")</f>
        <v>2RM</v>
      </c>
    </row>
    <row r="68" spans="2:28" ht="12.75" customHeight="1" x14ac:dyDescent="0.3">
      <c r="B68" s="133">
        <v>2</v>
      </c>
      <c r="C68" s="142" t="s">
        <v>595</v>
      </c>
      <c r="D68" s="482">
        <f>IFERROR(VLOOKUP(C68,Tabla15[[Piloto]:[Puntos clase]],7, FALSE), " ")</f>
        <v>3</v>
      </c>
      <c r="E68" s="482" t="str">
        <f>LEFT(AB68,LEN(AB68)-2)</f>
        <v>2</v>
      </c>
      <c r="F68" s="135">
        <f>IFERROR(VLOOKUP(C68,'01_RS ALCARRIA'!$D$6:$M$36,10,FALSE),"")</f>
        <v>5</v>
      </c>
      <c r="G68" s="135">
        <f>IFERROR(VLOOKUP(C68,'01_RS ALCARRIA'!$D$6:$O$36,12,FALSE),"")</f>
        <v>5</v>
      </c>
      <c r="H68" s="138">
        <f>(F68+G68)*2</f>
        <v>20</v>
      </c>
      <c r="I68" s="135">
        <f>IFERROR(VLOOKUP(C68,'02_TCT GUADAMUR'!$D$6:$M$36,10,FALSE),"")</f>
        <v>3</v>
      </c>
      <c r="J68" s="135">
        <f>IFERROR(VLOOKUP(C68,'02_TCT GUADAMUR'!$D$6:$O$36,12,FALSE),"")</f>
        <v>5</v>
      </c>
      <c r="K68" s="138">
        <f>(I68+J68)</f>
        <v>8</v>
      </c>
      <c r="L68" s="135">
        <f>IFERROR(VLOOKUP(C68,'03_TCT MAQUEDA'!$D$6:$M$36,10,FALSE),"")</f>
        <v>2</v>
      </c>
      <c r="M68" s="135">
        <f>IFERROR(VLOOKUP(C68,'03_TCT MAQUEDA'!$D$6:$O$36,12,FALSE),"")</f>
        <v>6</v>
      </c>
      <c r="N68" s="138">
        <f>(L68+M68)</f>
        <v>8</v>
      </c>
      <c r="O68" s="135"/>
      <c r="P68" s="135"/>
      <c r="Q68" s="138"/>
      <c r="R68" s="135"/>
      <c r="S68" s="135"/>
      <c r="T68" s="138"/>
      <c r="U68" s="135"/>
      <c r="V68" s="135"/>
      <c r="W68" s="138"/>
      <c r="X68" s="139">
        <f t="shared" si="9"/>
        <v>36</v>
      </c>
      <c r="Y68" s="140" t="str">
        <f t="shared" si="10"/>
        <v>Sí</v>
      </c>
      <c r="Z68" s="141">
        <f t="shared" si="11"/>
        <v>3</v>
      </c>
      <c r="AB68" s="261" t="str">
        <f>IFERROR(VLOOKUP(C68,Tabla15[[Piloto]:[Puntos clase]],6, FALSE), " ")</f>
        <v>2RM</v>
      </c>
    </row>
    <row r="69" spans="2:28" ht="12.75" customHeight="1" x14ac:dyDescent="0.3">
      <c r="B69" s="133">
        <v>3</v>
      </c>
      <c r="C69" s="142" t="s">
        <v>695</v>
      </c>
      <c r="D69" s="227">
        <v>1</v>
      </c>
      <c r="E69" s="227">
        <v>4</v>
      </c>
      <c r="F69" s="138"/>
      <c r="G69" s="135"/>
      <c r="H69" s="135"/>
      <c r="I69" s="135"/>
      <c r="J69" s="135"/>
      <c r="K69" s="138"/>
      <c r="L69" s="135">
        <f>IFERROR(VLOOKUP(C69,'03_TCT MAQUEDA'!$D$6:$M$36,10,FALSE),"")</f>
        <v>25</v>
      </c>
      <c r="M69" s="135">
        <f>IFERROR(VLOOKUP(C69,'03_TCT MAQUEDA'!$D$6:$O$36,12,FALSE),"")</f>
        <v>10</v>
      </c>
      <c r="N69" s="138">
        <f>(L69+M69)</f>
        <v>35</v>
      </c>
      <c r="O69" s="135"/>
      <c r="P69" s="135"/>
      <c r="Q69" s="138"/>
      <c r="R69" s="135"/>
      <c r="S69" s="135"/>
      <c r="T69" s="138"/>
      <c r="U69" s="135"/>
      <c r="V69" s="135"/>
      <c r="W69" s="138"/>
      <c r="X69" s="139">
        <f t="shared" si="9"/>
        <v>35</v>
      </c>
      <c r="Y69" s="140" t="str">
        <f t="shared" si="10"/>
        <v>No</v>
      </c>
      <c r="Z69" s="141">
        <f t="shared" si="11"/>
        <v>1</v>
      </c>
      <c r="AB69" s="261" t="str">
        <f>IFERROR(VLOOKUP(C69,Tabla15[[Piloto]:[Puntos clase]],6, FALSE), " ")</f>
        <v xml:space="preserve"> </v>
      </c>
    </row>
    <row r="70" spans="2:28" ht="12.75" customHeight="1" x14ac:dyDescent="0.3">
      <c r="B70" s="133">
        <v>3</v>
      </c>
      <c r="C70" s="142" t="s">
        <v>592</v>
      </c>
      <c r="D70" s="482">
        <f>IFERROR(VLOOKUP(C70,Tabla15[[Piloto]:[Puntos clase]],7, FALSE), " ")</f>
        <v>3</v>
      </c>
      <c r="E70" s="482" t="str">
        <f>LEFT(AB70,LEN(AB70)-2)</f>
        <v>2</v>
      </c>
      <c r="F70" s="135">
        <f>IFERROR(VLOOKUP(C70,'01_RS ALCARRIA'!$D$6:$M$36,10,FALSE),"")</f>
        <v>8</v>
      </c>
      <c r="G70" s="135">
        <f>IFERROR(VLOOKUP(C70,'01_RS ALCARRIA'!$D$6:$O$36,12,FALSE),"")</f>
        <v>8</v>
      </c>
      <c r="H70" s="138">
        <f>(F70+G70)*2</f>
        <v>32</v>
      </c>
      <c r="I70" s="135">
        <v>0</v>
      </c>
      <c r="J70" s="135">
        <v>0</v>
      </c>
      <c r="K70" s="138">
        <f>(I70+J70)</f>
        <v>0</v>
      </c>
      <c r="L70" s="135"/>
      <c r="M70" s="135"/>
      <c r="N70" s="138"/>
      <c r="O70" s="135"/>
      <c r="P70" s="135"/>
      <c r="Q70" s="138"/>
      <c r="R70" s="135"/>
      <c r="S70" s="135"/>
      <c r="T70" s="138"/>
      <c r="U70" s="135"/>
      <c r="V70" s="135"/>
      <c r="W70" s="138"/>
      <c r="X70" s="139">
        <f t="shared" si="9"/>
        <v>32</v>
      </c>
      <c r="Y70" s="140" t="str">
        <f t="shared" si="10"/>
        <v>No</v>
      </c>
      <c r="Z70" s="141">
        <f t="shared" si="11"/>
        <v>2</v>
      </c>
      <c r="AB70" s="261" t="str">
        <f>IFERROR(VLOOKUP(C70,Tabla15[[Piloto]:[Puntos clase]],6, FALSE), " ")</f>
        <v>2RM</v>
      </c>
    </row>
    <row r="71" spans="2:28" ht="12.75" customHeight="1" x14ac:dyDescent="0.3">
      <c r="B71" s="133">
        <v>3</v>
      </c>
      <c r="C71" s="142" t="s">
        <v>624</v>
      </c>
      <c r="D71" s="482">
        <v>4</v>
      </c>
      <c r="E71" s="482">
        <v>2</v>
      </c>
      <c r="F71" s="135">
        <f>IFERROR(VLOOKUP(C71,'01_RS ALCARRIA'!$D$6:$M$36,10,FALSE),"")</f>
        <v>0</v>
      </c>
      <c r="G71" s="135">
        <f>IFERROR(VLOOKUP(C71,'01_RS ALCARRIA'!$D$6:$O$36,12,FALSE),"")</f>
        <v>5</v>
      </c>
      <c r="H71" s="138">
        <f>(F71+G71)*2</f>
        <v>10</v>
      </c>
      <c r="I71" s="135">
        <f>IFERROR(VLOOKUP(C71,'02_TCT GUADAMUR'!$D$6:$M$36,10,FALSE),"")</f>
        <v>0</v>
      </c>
      <c r="J71" s="135">
        <f>IFERROR(VLOOKUP(C71,'02_TCT GUADAMUR'!$D$6:$O$36,12,FALSE),"")</f>
        <v>6</v>
      </c>
      <c r="K71" s="138">
        <f>(I71+J71)</f>
        <v>6</v>
      </c>
      <c r="L71" s="135">
        <f>IFERROR(VLOOKUP(C71,'03_TCT MAQUEDA'!$D$6:$M$36,10,FALSE),"")</f>
        <v>6</v>
      </c>
      <c r="M71" s="135">
        <f>IFERROR(VLOOKUP(C71,'03_TCT MAQUEDA'!$D$6:$O$36,12,FALSE),"")</f>
        <v>10</v>
      </c>
      <c r="N71" s="138">
        <f>(L71+M71)</f>
        <v>16</v>
      </c>
      <c r="O71" s="135"/>
      <c r="P71" s="135"/>
      <c r="Q71" s="138"/>
      <c r="R71" s="135"/>
      <c r="S71" s="135"/>
      <c r="T71" s="138"/>
      <c r="U71" s="135"/>
      <c r="V71" s="135"/>
      <c r="W71" s="138"/>
      <c r="X71" s="139">
        <f t="shared" si="9"/>
        <v>32</v>
      </c>
      <c r="Y71" s="140" t="str">
        <f t="shared" si="10"/>
        <v>Sí</v>
      </c>
      <c r="Z71" s="141">
        <f t="shared" si="11"/>
        <v>3</v>
      </c>
      <c r="AB71" s="261" t="str">
        <f>IFERROR(VLOOKUP(C71,Tabla15[[Piloto]:[Puntos clase]],6, FALSE), " ")</f>
        <v>2RM</v>
      </c>
    </row>
    <row r="72" spans="2:28" ht="12.75" customHeight="1" x14ac:dyDescent="0.3">
      <c r="B72" s="133">
        <v>4</v>
      </c>
      <c r="C72" s="142" t="s">
        <v>281</v>
      </c>
      <c r="D72" s="227">
        <v>1</v>
      </c>
      <c r="E72" s="227">
        <v>4</v>
      </c>
      <c r="F72" s="138"/>
      <c r="G72" s="135"/>
      <c r="H72" s="135"/>
      <c r="I72" s="135"/>
      <c r="J72" s="135"/>
      <c r="K72" s="138"/>
      <c r="L72" s="135">
        <f>IFERROR(VLOOKUP(C72,'03_TCT MAQUEDA'!$D$6:$M$36,10,FALSE),"")</f>
        <v>20</v>
      </c>
      <c r="M72" s="135">
        <f>IFERROR(VLOOKUP(C72,'03_TCT MAQUEDA'!$D$6:$O$36,12,FALSE),"")</f>
        <v>8</v>
      </c>
      <c r="N72" s="138">
        <f>(L72+M72)</f>
        <v>28</v>
      </c>
      <c r="O72" s="135"/>
      <c r="P72" s="135"/>
      <c r="Q72" s="138"/>
      <c r="R72" s="135"/>
      <c r="S72" s="135"/>
      <c r="T72" s="138"/>
      <c r="U72" s="135"/>
      <c r="V72" s="135"/>
      <c r="W72" s="138"/>
      <c r="X72" s="139">
        <f t="shared" si="9"/>
        <v>28</v>
      </c>
      <c r="Y72" s="140" t="str">
        <f t="shared" si="10"/>
        <v>No</v>
      </c>
      <c r="Z72" s="141">
        <f t="shared" si="11"/>
        <v>1</v>
      </c>
      <c r="AB72" s="261" t="str">
        <f>IFERROR(VLOOKUP(C72,Tabla15[[Piloto]:[Puntos clase]],6, FALSE), " ")</f>
        <v xml:space="preserve"> </v>
      </c>
    </row>
    <row r="73" spans="2:28" ht="12.75" customHeight="1" x14ac:dyDescent="0.3">
      <c r="B73" s="133">
        <v>4</v>
      </c>
      <c r="C73" s="142" t="s">
        <v>593</v>
      </c>
      <c r="D73" s="482">
        <f>IFERROR(VLOOKUP(C73,Tabla15[[Piloto]:[Puntos clase]],7, FALSE), " ")</f>
        <v>3</v>
      </c>
      <c r="E73" s="482" t="str">
        <f>LEFT(AB73,LEN(AB73)-2)</f>
        <v>2</v>
      </c>
      <c r="F73" s="135">
        <f>IFERROR(VLOOKUP(C73,'01_RS ALCARRIA'!$D$6:$M$36,10,FALSE),"")</f>
        <v>6</v>
      </c>
      <c r="G73" s="135">
        <f>IFERROR(VLOOKUP(C73,'01_RS ALCARRIA'!$D$6:$O$36,12,FALSE),"")</f>
        <v>6</v>
      </c>
      <c r="H73" s="138">
        <f>(F73+G73)*2</f>
        <v>24</v>
      </c>
      <c r="I73" s="135"/>
      <c r="J73" s="135"/>
      <c r="K73" s="138"/>
      <c r="L73" s="135">
        <v>0</v>
      </c>
      <c r="M73" s="135">
        <v>0</v>
      </c>
      <c r="N73" s="138">
        <f>(L73+M73)</f>
        <v>0</v>
      </c>
      <c r="O73" s="135"/>
      <c r="P73" s="135"/>
      <c r="Q73" s="138"/>
      <c r="R73" s="135"/>
      <c r="S73" s="135"/>
      <c r="T73" s="138"/>
      <c r="U73" s="135"/>
      <c r="V73" s="135"/>
      <c r="W73" s="138"/>
      <c r="X73" s="139">
        <f t="shared" si="9"/>
        <v>24</v>
      </c>
      <c r="Y73" s="140" t="str">
        <f t="shared" si="10"/>
        <v>No</v>
      </c>
      <c r="Z73" s="141">
        <f t="shared" si="11"/>
        <v>2</v>
      </c>
      <c r="AB73" s="261" t="str">
        <f>IFERROR(VLOOKUP(C73,Tabla15[[Piloto]:[Puntos clase]],6, FALSE), " ")</f>
        <v>2RM</v>
      </c>
    </row>
    <row r="74" spans="2:28" ht="12.75" customHeight="1" x14ac:dyDescent="0.3">
      <c r="B74" s="133">
        <v>5</v>
      </c>
      <c r="C74" s="142" t="s">
        <v>212</v>
      </c>
      <c r="D74" s="482">
        <v>3</v>
      </c>
      <c r="E74" s="482">
        <v>2</v>
      </c>
      <c r="F74" s="138"/>
      <c r="G74" s="135"/>
      <c r="H74" s="135"/>
      <c r="I74" s="135">
        <f>IFERROR(VLOOKUP(C74,'02_TCT GUADAMUR'!$D$6:$M$36,10,FALSE),"")</f>
        <v>12</v>
      </c>
      <c r="J74" s="135">
        <f>IFERROR(VLOOKUP(C74,'02_TCT GUADAMUR'!$D$6:$O$36,12,FALSE),"")</f>
        <v>10</v>
      </c>
      <c r="K74" s="138">
        <f t="shared" ref="K74:K80" si="12">(I74+J74)</f>
        <v>22</v>
      </c>
      <c r="L74" s="135"/>
      <c r="M74" s="135"/>
      <c r="N74" s="138"/>
      <c r="O74" s="135"/>
      <c r="P74" s="135"/>
      <c r="Q74" s="138"/>
      <c r="R74" s="135"/>
      <c r="S74" s="135"/>
      <c r="T74" s="138"/>
      <c r="U74" s="135"/>
      <c r="V74" s="135"/>
      <c r="W74" s="138"/>
      <c r="X74" s="139">
        <f t="shared" si="9"/>
        <v>22</v>
      </c>
      <c r="Y74" s="140" t="str">
        <f t="shared" si="10"/>
        <v>No</v>
      </c>
      <c r="Z74" s="141">
        <f t="shared" si="11"/>
        <v>1</v>
      </c>
      <c r="AB74" s="261" t="str">
        <f>IFERROR(VLOOKUP(C74,Tabla15[[Piloto]:[Puntos clase]],6, FALSE), " ")</f>
        <v xml:space="preserve"> </v>
      </c>
    </row>
    <row r="75" spans="2:28" ht="12.75" customHeight="1" x14ac:dyDescent="0.3">
      <c r="B75" s="133">
        <v>2</v>
      </c>
      <c r="C75" s="142" t="s">
        <v>408</v>
      </c>
      <c r="D75" s="482">
        <f>IFERROR(VLOOKUP(C75,Tabla15[[Piloto]:[Puntos clase]],7, FALSE), " ")</f>
        <v>5</v>
      </c>
      <c r="E75" s="482" t="str">
        <f>LEFT(AB75,LEN(AB75)-2)</f>
        <v>2</v>
      </c>
      <c r="F75" s="135">
        <v>0</v>
      </c>
      <c r="G75" s="135">
        <v>0</v>
      </c>
      <c r="H75" s="138">
        <f>(F75+G75)*2</f>
        <v>0</v>
      </c>
      <c r="I75" s="135">
        <f>IFERROR(VLOOKUP(C75,'02_TCT GUADAMUR'!$D$6:$M$36,10,FALSE),"")</f>
        <v>0</v>
      </c>
      <c r="J75" s="135">
        <f>IFERROR(VLOOKUP(C75,'02_TCT GUADAMUR'!$D$6:$O$36,12,FALSE),"")</f>
        <v>6</v>
      </c>
      <c r="K75" s="138">
        <f t="shared" si="12"/>
        <v>6</v>
      </c>
      <c r="L75" s="135">
        <f>IFERROR(VLOOKUP(C75,'03_TCT MAQUEDA'!$D$6:$M$36,10,FALSE),"")</f>
        <v>10</v>
      </c>
      <c r="M75" s="284">
        <f>IFERROR(VLOOKUP(C75,'03_TCT MAQUEDA'!$D$6:$O$36,12,FALSE),"")/2</f>
        <v>5</v>
      </c>
      <c r="N75" s="138">
        <f>(L75+M75)</f>
        <v>15</v>
      </c>
      <c r="O75" s="135"/>
      <c r="P75" s="135"/>
      <c r="Q75" s="138"/>
      <c r="R75" s="135"/>
      <c r="S75" s="135"/>
      <c r="T75" s="138"/>
      <c r="U75" s="135"/>
      <c r="V75" s="135"/>
      <c r="W75" s="138"/>
      <c r="X75" s="139">
        <f t="shared" si="9"/>
        <v>21</v>
      </c>
      <c r="Y75" s="140" t="str">
        <f t="shared" si="10"/>
        <v>Sí</v>
      </c>
      <c r="Z75" s="141">
        <f t="shared" si="11"/>
        <v>3</v>
      </c>
      <c r="AB75" s="261" t="str">
        <f>IFERROR(VLOOKUP(C75,Tabla15[[Piloto]:[Puntos clase]],6, FALSE), " ")</f>
        <v>2RM</v>
      </c>
    </row>
    <row r="76" spans="2:28" ht="12.75" customHeight="1" x14ac:dyDescent="0.3">
      <c r="B76" s="133">
        <v>4</v>
      </c>
      <c r="C76" s="142" t="s">
        <v>621</v>
      </c>
      <c r="D76" s="482">
        <v>4</v>
      </c>
      <c r="E76" s="482" t="str">
        <f>LEFT(AB76,LEN(AB76)-2)</f>
        <v>2</v>
      </c>
      <c r="F76" s="135">
        <f>IFERROR(VLOOKUP(C76,'01_RS ALCARRIA'!$D$6:$M$36,10,FALSE),"")</f>
        <v>0</v>
      </c>
      <c r="G76" s="135">
        <f>IFERROR(VLOOKUP(C76,'01_RS ALCARRIA'!$D$6:$O$36,12,FALSE),"")</f>
        <v>6</v>
      </c>
      <c r="H76" s="138">
        <f>(F76+G76)*2</f>
        <v>12</v>
      </c>
      <c r="I76" s="135">
        <f>IFERROR(VLOOKUP(C76,'02_TCT GUADAMUR'!$D$6:$M$36,10,FALSE),"")</f>
        <v>0</v>
      </c>
      <c r="J76" s="135">
        <f>IFERROR(VLOOKUP(C76,'02_TCT GUADAMUR'!$D$6:$O$36,12,FALSE),"")</f>
        <v>5</v>
      </c>
      <c r="K76" s="138">
        <f t="shared" si="12"/>
        <v>5</v>
      </c>
      <c r="L76" s="135"/>
      <c r="M76" s="135"/>
      <c r="N76" s="138"/>
      <c r="O76" s="135"/>
      <c r="P76" s="135"/>
      <c r="Q76" s="138"/>
      <c r="R76" s="135"/>
      <c r="S76" s="135"/>
      <c r="T76" s="138"/>
      <c r="U76" s="135"/>
      <c r="V76" s="135"/>
      <c r="W76" s="138"/>
      <c r="X76" s="139">
        <f t="shared" si="9"/>
        <v>17</v>
      </c>
      <c r="Y76" s="140" t="str">
        <f t="shared" si="10"/>
        <v>No</v>
      </c>
      <c r="Z76" s="141">
        <f t="shared" si="11"/>
        <v>2</v>
      </c>
      <c r="AB76" s="261" t="str">
        <f>IFERROR(VLOOKUP(C76,Tabla15[[Piloto]:[Puntos clase]],6, FALSE), " ")</f>
        <v>2RM</v>
      </c>
    </row>
    <row r="77" spans="2:28" ht="12.75" customHeight="1" x14ac:dyDescent="0.3">
      <c r="B77" s="133">
        <v>6</v>
      </c>
      <c r="C77" s="134" t="s">
        <v>610</v>
      </c>
      <c r="D77" s="482">
        <f>IFERROR(VLOOKUP(C77,Tabla15[[Piloto]:[Puntos clase]],7, FALSE), " ")</f>
        <v>3</v>
      </c>
      <c r="E77" s="482" t="str">
        <f>LEFT(AB77,LEN(AB77)-2)</f>
        <v>2</v>
      </c>
      <c r="F77" s="135">
        <f>IFERROR(VLOOKUP(C77,'01_RS ALCARRIA'!$D$6:$M$36,10,FALSE),"")</f>
        <v>0</v>
      </c>
      <c r="G77" s="135">
        <f>IFERROR(VLOOKUP(C77,'01_RS ALCARRIA'!$D$6:$O$36,12,FALSE),"")</f>
        <v>0</v>
      </c>
      <c r="H77" s="138">
        <f>(F77+G77)*2</f>
        <v>0</v>
      </c>
      <c r="I77" s="135">
        <f>IFERROR(VLOOKUP(C77,'02_TCT GUADAMUR'!$D$6:$M$36,10,FALSE),"")</f>
        <v>0</v>
      </c>
      <c r="J77" s="135">
        <f>IFERROR(VLOOKUP(C77,'02_TCT GUADAMUR'!$D$6:$O$36,12,FALSE),"")</f>
        <v>1</v>
      </c>
      <c r="K77" s="138">
        <f t="shared" si="12"/>
        <v>1</v>
      </c>
      <c r="L77" s="135">
        <f>IFERROR(VLOOKUP(C77,'03_TCT MAQUEDA'!$D$6:$M$36,10,FALSE),"")</f>
        <v>4</v>
      </c>
      <c r="M77" s="135">
        <f>IFERROR(VLOOKUP(C77,'03_TCT MAQUEDA'!$D$6:$O$36,12,FALSE),"")</f>
        <v>8</v>
      </c>
      <c r="N77" s="138">
        <f>(L77+M77)</f>
        <v>12</v>
      </c>
      <c r="O77" s="135"/>
      <c r="P77" s="135"/>
      <c r="Q77" s="138"/>
      <c r="R77" s="135"/>
      <c r="S77" s="135"/>
      <c r="T77" s="138"/>
      <c r="U77" s="135"/>
      <c r="V77" s="135"/>
      <c r="W77" s="138"/>
      <c r="X77" s="139">
        <f t="shared" si="9"/>
        <v>13</v>
      </c>
      <c r="Y77" s="140" t="str">
        <f t="shared" si="10"/>
        <v>Sí</v>
      </c>
      <c r="Z77" s="141">
        <f t="shared" si="11"/>
        <v>3</v>
      </c>
      <c r="AB77" s="261" t="str">
        <f>IFERROR(VLOOKUP(C77,Tabla15[[Piloto]:[Puntos clase]],6, FALSE), " ")</f>
        <v>2RM</v>
      </c>
    </row>
    <row r="78" spans="2:28" ht="12.75" customHeight="1" x14ac:dyDescent="0.3">
      <c r="B78" s="133">
        <v>3</v>
      </c>
      <c r="C78" s="142" t="s">
        <v>626</v>
      </c>
      <c r="D78" s="482">
        <f>IFERROR(VLOOKUP(C78,Tabla15[[Piloto]:[Puntos clase]],7, FALSE), " ")</f>
        <v>5</v>
      </c>
      <c r="E78" s="482" t="str">
        <f>LEFT(AB78,LEN(AB78)-2)</f>
        <v>4</v>
      </c>
      <c r="F78" s="135">
        <v>0</v>
      </c>
      <c r="G78" s="135">
        <v>0</v>
      </c>
      <c r="H78" s="138">
        <f>(F78+G78)*2</f>
        <v>0</v>
      </c>
      <c r="I78" s="135">
        <f>IFERROR(VLOOKUP(C78,'02_TCT GUADAMUR'!$D$6:$M$36,10,FALSE),"")</f>
        <v>4</v>
      </c>
      <c r="J78" s="135">
        <f>IFERROR(VLOOKUP(C78,'02_TCT GUADAMUR'!$D$6:$O$36,12,FALSE),"")</f>
        <v>8</v>
      </c>
      <c r="K78" s="138">
        <f t="shared" si="12"/>
        <v>12</v>
      </c>
      <c r="L78" s="135"/>
      <c r="M78" s="135"/>
      <c r="N78" s="138"/>
      <c r="O78" s="135"/>
      <c r="P78" s="135"/>
      <c r="Q78" s="138"/>
      <c r="R78" s="135"/>
      <c r="S78" s="135"/>
      <c r="T78" s="138"/>
      <c r="U78" s="135"/>
      <c r="V78" s="135"/>
      <c r="W78" s="138"/>
      <c r="X78" s="139">
        <f t="shared" si="9"/>
        <v>12</v>
      </c>
      <c r="Y78" s="140" t="str">
        <f t="shared" si="10"/>
        <v>No</v>
      </c>
      <c r="Z78" s="141">
        <f t="shared" si="11"/>
        <v>2</v>
      </c>
      <c r="AB78" s="261" t="str">
        <f>IFERROR(VLOOKUP(C78,Tabla15[[Piloto]:[Puntos clase]],6, FALSE), " ")</f>
        <v>4RM</v>
      </c>
    </row>
    <row r="79" spans="2:28" ht="12.75" customHeight="1" x14ac:dyDescent="0.3">
      <c r="B79" s="133">
        <v>7</v>
      </c>
      <c r="C79" s="142" t="s">
        <v>671</v>
      </c>
      <c r="D79" s="482">
        <v>3</v>
      </c>
      <c r="E79" s="482">
        <v>2</v>
      </c>
      <c r="F79" s="138"/>
      <c r="G79" s="135"/>
      <c r="H79" s="135"/>
      <c r="I79" s="135">
        <f>IFERROR(VLOOKUP(C79,'02_TCT GUADAMUR'!$D$6:$M$36,10,FALSE),"")</f>
        <v>5</v>
      </c>
      <c r="J79" s="135">
        <f>IFERROR(VLOOKUP(C79,'02_TCT GUADAMUR'!$D$6:$O$36,12,FALSE),"")</f>
        <v>6</v>
      </c>
      <c r="K79" s="138">
        <f t="shared" si="12"/>
        <v>11</v>
      </c>
      <c r="L79" s="135">
        <v>0</v>
      </c>
      <c r="M79" s="135">
        <v>0</v>
      </c>
      <c r="N79" s="138">
        <f>(L79+M79)</f>
        <v>0</v>
      </c>
      <c r="O79" s="135"/>
      <c r="P79" s="135"/>
      <c r="Q79" s="138"/>
      <c r="R79" s="135"/>
      <c r="S79" s="135"/>
      <c r="T79" s="138"/>
      <c r="U79" s="135"/>
      <c r="V79" s="135"/>
      <c r="W79" s="138"/>
      <c r="X79" s="139">
        <f t="shared" si="9"/>
        <v>11</v>
      </c>
      <c r="Y79" s="140" t="str">
        <f t="shared" si="10"/>
        <v>No</v>
      </c>
      <c r="Z79" s="141">
        <f t="shared" si="11"/>
        <v>2</v>
      </c>
      <c r="AB79" s="261" t="str">
        <f>IFERROR(VLOOKUP(C79,Tabla15[[Piloto]:[Puntos clase]],6, FALSE), " ")</f>
        <v xml:space="preserve"> </v>
      </c>
    </row>
    <row r="80" spans="2:28" ht="12.75" customHeight="1" x14ac:dyDescent="0.3">
      <c r="B80" s="133">
        <v>5</v>
      </c>
      <c r="C80" s="142" t="s">
        <v>676</v>
      </c>
      <c r="D80" s="482">
        <v>4</v>
      </c>
      <c r="E80" s="482">
        <v>2</v>
      </c>
      <c r="F80" s="138"/>
      <c r="G80" s="135"/>
      <c r="H80" s="135"/>
      <c r="I80" s="135">
        <f>IFERROR(VLOOKUP(C80,'02_TCT GUADAMUR'!$D$6:$M$36,10,FALSE),"")</f>
        <v>0</v>
      </c>
      <c r="J80" s="135">
        <f>IFERROR(VLOOKUP(C80,'02_TCT GUADAMUR'!$D$6:$O$36,12,FALSE),"")</f>
        <v>3</v>
      </c>
      <c r="K80" s="138">
        <f t="shared" si="12"/>
        <v>3</v>
      </c>
      <c r="L80" s="135">
        <f>IFERROR(VLOOKUP(C80,'03_TCT MAQUEDA'!$D$6:$M$36,10,FALSE),"")</f>
        <v>0</v>
      </c>
      <c r="M80" s="135">
        <f>IFERROR(VLOOKUP(C80,'03_TCT MAQUEDA'!$D$6:$O$36,12,FALSE),"")</f>
        <v>6</v>
      </c>
      <c r="N80" s="138">
        <f>(L80+M80)</f>
        <v>6</v>
      </c>
      <c r="O80" s="135"/>
      <c r="P80" s="135"/>
      <c r="Q80" s="138"/>
      <c r="R80" s="135"/>
      <c r="S80" s="135"/>
      <c r="T80" s="138"/>
      <c r="U80" s="135"/>
      <c r="V80" s="135"/>
      <c r="W80" s="138"/>
      <c r="X80" s="139">
        <f t="shared" si="9"/>
        <v>9</v>
      </c>
      <c r="Y80" s="140" t="str">
        <f t="shared" si="10"/>
        <v>No</v>
      </c>
      <c r="Z80" s="141">
        <f t="shared" si="11"/>
        <v>2</v>
      </c>
      <c r="AB80" s="261" t="str">
        <f>IFERROR(VLOOKUP(C80,Tabla15[[Piloto]:[Puntos clase]],6, FALSE), " ")</f>
        <v xml:space="preserve"> </v>
      </c>
    </row>
    <row r="81" spans="2:28" ht="12.75" customHeight="1" x14ac:dyDescent="0.3">
      <c r="B81" s="133">
        <v>8</v>
      </c>
      <c r="C81" s="142" t="s">
        <v>601</v>
      </c>
      <c r="D81" s="482">
        <f>IFERROR(VLOOKUP(C81,Tabla15[[Piloto]:[Puntos clase]],7, FALSE), " ")</f>
        <v>3</v>
      </c>
      <c r="E81" s="482" t="str">
        <f>LEFT(AB81,LEN(AB81)-2)</f>
        <v>2</v>
      </c>
      <c r="F81" s="135">
        <f>IFERROR(VLOOKUP(C81,'01_RS ALCARRIA'!$D$6:$M$36,10,FALSE),"")</f>
        <v>1</v>
      </c>
      <c r="G81" s="135">
        <f>IFERROR(VLOOKUP(C81,'01_RS ALCARRIA'!$D$6:$O$36,12,FALSE),"")</f>
        <v>3</v>
      </c>
      <c r="H81" s="138">
        <f>(F81+G81)*2</f>
        <v>8</v>
      </c>
      <c r="I81" s="135"/>
      <c r="J81" s="135"/>
      <c r="K81" s="138"/>
      <c r="L81" s="135"/>
      <c r="M81" s="135"/>
      <c r="N81" s="138"/>
      <c r="O81" s="135"/>
      <c r="P81" s="135"/>
      <c r="Q81" s="138"/>
      <c r="R81" s="135"/>
      <c r="S81" s="135"/>
      <c r="T81" s="138"/>
      <c r="U81" s="135"/>
      <c r="V81" s="135"/>
      <c r="W81" s="138"/>
      <c r="X81" s="139">
        <f t="shared" si="9"/>
        <v>8</v>
      </c>
      <c r="Y81" s="140" t="str">
        <f t="shared" si="10"/>
        <v>No</v>
      </c>
      <c r="Z81" s="141">
        <f t="shared" si="11"/>
        <v>1</v>
      </c>
      <c r="AB81" s="261" t="str">
        <f>IFERROR(VLOOKUP(C81,Tabla15[[Piloto]:[Puntos clase]],6, FALSE), " ")</f>
        <v>2RM</v>
      </c>
    </row>
    <row r="82" spans="2:28" ht="12.75" customHeight="1" x14ac:dyDescent="0.3">
      <c r="B82" s="133">
        <v>4</v>
      </c>
      <c r="C82" s="142" t="s">
        <v>698</v>
      </c>
      <c r="D82" s="227">
        <v>5</v>
      </c>
      <c r="E82" s="227">
        <v>2</v>
      </c>
      <c r="F82" s="138"/>
      <c r="G82" s="135"/>
      <c r="H82" s="135"/>
      <c r="I82" s="135"/>
      <c r="J82" s="135"/>
      <c r="K82" s="138"/>
      <c r="L82" s="135">
        <f>IFERROR(VLOOKUP(C82,'03_TCT MAQUEDA'!$D$6:$M$36,10,FALSE),"")</f>
        <v>3</v>
      </c>
      <c r="M82" s="284">
        <f>IFERROR(VLOOKUP(C82,'03_TCT MAQUEDA'!$D$6:$O$36,12,FALSE),"")/2</f>
        <v>4</v>
      </c>
      <c r="N82" s="138">
        <f>(L82+M82)</f>
        <v>7</v>
      </c>
      <c r="O82" s="135"/>
      <c r="P82" s="135"/>
      <c r="Q82" s="138"/>
      <c r="R82" s="135"/>
      <c r="S82" s="135"/>
      <c r="T82" s="138"/>
      <c r="U82" s="135"/>
      <c r="V82" s="135"/>
      <c r="W82" s="138"/>
      <c r="X82" s="139">
        <f t="shared" si="9"/>
        <v>7</v>
      </c>
      <c r="Y82" s="140" t="str">
        <f t="shared" si="10"/>
        <v>No</v>
      </c>
      <c r="Z82" s="141">
        <f t="shared" si="11"/>
        <v>1</v>
      </c>
      <c r="AB82" s="261" t="str">
        <f>IFERROR(VLOOKUP(C82,Tabla15[[Piloto]:[Puntos clase]],6, FALSE), " ")</f>
        <v xml:space="preserve"> </v>
      </c>
    </row>
    <row r="83" spans="2:28" ht="12.75" customHeight="1" x14ac:dyDescent="0.3">
      <c r="B83" s="133">
        <v>9</v>
      </c>
      <c r="C83" s="142" t="s">
        <v>632</v>
      </c>
      <c r="D83" s="482">
        <v>3</v>
      </c>
      <c r="E83" s="482">
        <v>2</v>
      </c>
      <c r="F83" s="135">
        <v>0</v>
      </c>
      <c r="G83" s="135">
        <v>0</v>
      </c>
      <c r="H83" s="138">
        <f>(F83+G83)*2</f>
        <v>0</v>
      </c>
      <c r="I83" s="135"/>
      <c r="J83" s="135"/>
      <c r="K83" s="138"/>
      <c r="L83" s="135">
        <f>IFERROR(VLOOKUP(C83,'03_TCT MAQUEDA'!$D$6:$M$36,10,FALSE),"")</f>
        <v>1</v>
      </c>
      <c r="M83" s="135">
        <f>IFERROR(VLOOKUP(C83,'03_TCT MAQUEDA'!$D$6:$O$36,12,FALSE),"")</f>
        <v>5</v>
      </c>
      <c r="N83" s="138">
        <f>(L83+M83)</f>
        <v>6</v>
      </c>
      <c r="O83" s="135"/>
      <c r="P83" s="135"/>
      <c r="Q83" s="138"/>
      <c r="R83" s="135"/>
      <c r="S83" s="135"/>
      <c r="T83" s="138"/>
      <c r="U83" s="135"/>
      <c r="V83" s="135"/>
      <c r="W83" s="138"/>
      <c r="X83" s="139">
        <f t="shared" si="9"/>
        <v>6</v>
      </c>
      <c r="Y83" s="140" t="str">
        <f t="shared" si="10"/>
        <v>No</v>
      </c>
      <c r="Z83" s="141">
        <f t="shared" si="11"/>
        <v>2</v>
      </c>
      <c r="AB83" s="261" t="str">
        <f>IFERROR(VLOOKUP(C83,Tabla15[[Piloto]:[Puntos clase]],6, FALSE), " ")</f>
        <v>2RM</v>
      </c>
    </row>
    <row r="84" spans="2:28" ht="12.75" customHeight="1" x14ac:dyDescent="0.3">
      <c r="B84" s="133">
        <v>5</v>
      </c>
      <c r="C84" s="142" t="s">
        <v>678</v>
      </c>
      <c r="D84" s="482">
        <v>1</v>
      </c>
      <c r="E84" s="482">
        <v>4</v>
      </c>
      <c r="F84" s="138"/>
      <c r="G84" s="135"/>
      <c r="H84" s="135"/>
      <c r="I84" s="135">
        <v>0</v>
      </c>
      <c r="J84" s="135">
        <v>0</v>
      </c>
      <c r="K84" s="138">
        <f t="shared" ref="K84:K90" si="13">(I84+J84)</f>
        <v>0</v>
      </c>
      <c r="L84" s="135">
        <f>IFERROR(VLOOKUP(C84,'03_TCT MAQUEDA'!$D$6:$M$36,10,FALSE),"")</f>
        <v>0</v>
      </c>
      <c r="M84" s="135">
        <f>IFERROR(VLOOKUP(C84,'03_TCT MAQUEDA'!$D$6:$O$36,12,FALSE),"")</f>
        <v>6</v>
      </c>
      <c r="N84" s="138">
        <f>(L84+M84)</f>
        <v>6</v>
      </c>
      <c r="O84" s="135"/>
      <c r="P84" s="135"/>
      <c r="Q84" s="138"/>
      <c r="R84" s="135"/>
      <c r="S84" s="135"/>
      <c r="T84" s="138"/>
      <c r="U84" s="135"/>
      <c r="V84" s="135"/>
      <c r="W84" s="138"/>
      <c r="X84" s="139">
        <f t="shared" si="9"/>
        <v>6</v>
      </c>
      <c r="Y84" s="140" t="str">
        <f t="shared" si="10"/>
        <v>No</v>
      </c>
      <c r="Z84" s="141">
        <f t="shared" si="11"/>
        <v>2</v>
      </c>
      <c r="AB84" s="261" t="str">
        <f>IFERROR(VLOOKUP(C84,Tabla15[[Piloto]:[Puntos clase]],6, FALSE), " ")</f>
        <v xml:space="preserve"> </v>
      </c>
    </row>
    <row r="85" spans="2:28" ht="12.75" customHeight="1" x14ac:dyDescent="0.3">
      <c r="B85" s="133">
        <v>10</v>
      </c>
      <c r="C85" s="142" t="s">
        <v>606</v>
      </c>
      <c r="D85" s="482">
        <v>3</v>
      </c>
      <c r="E85" s="482">
        <v>2</v>
      </c>
      <c r="F85" s="135">
        <f>IFERROR(VLOOKUP(C85,'01_RS ALCARRIA'!$D$6:$M$36,10,FALSE),"")</f>
        <v>0</v>
      </c>
      <c r="G85" s="135">
        <f>IFERROR(VLOOKUP(C85,'01_RS ALCARRIA'!$D$6:$O$36,12,FALSE),"")</f>
        <v>0</v>
      </c>
      <c r="H85" s="138">
        <f>(F85+G85)*2</f>
        <v>0</v>
      </c>
      <c r="I85" s="135">
        <f>IFERROR(VLOOKUP(C85,'02_TCT GUADAMUR'!$D$6:$M$36,10,FALSE),"")</f>
        <v>2</v>
      </c>
      <c r="J85" s="135">
        <f>IFERROR(VLOOKUP(C85,'02_TCT GUADAMUR'!$D$6:$O$36,12,FALSE),"")</f>
        <v>3</v>
      </c>
      <c r="K85" s="138">
        <f t="shared" si="13"/>
        <v>5</v>
      </c>
      <c r="L85" s="135"/>
      <c r="M85" s="135"/>
      <c r="N85" s="138"/>
      <c r="O85" s="135"/>
      <c r="P85" s="135"/>
      <c r="Q85" s="138"/>
      <c r="R85" s="135"/>
      <c r="S85" s="135"/>
      <c r="T85" s="138"/>
      <c r="U85" s="135"/>
      <c r="V85" s="135"/>
      <c r="W85" s="138"/>
      <c r="X85" s="139">
        <f t="shared" si="9"/>
        <v>5</v>
      </c>
      <c r="Y85" s="140" t="str">
        <f t="shared" si="10"/>
        <v>No</v>
      </c>
      <c r="Z85" s="141">
        <f t="shared" si="11"/>
        <v>2</v>
      </c>
      <c r="AB85" s="261" t="str">
        <f>IFERROR(VLOOKUP(C85,Tabla15[[Piloto]:[Puntos clase]],6, FALSE), " ")</f>
        <v>2RM</v>
      </c>
    </row>
    <row r="86" spans="2:28" ht="12.75" customHeight="1" x14ac:dyDescent="0.3">
      <c r="B86" s="133">
        <v>5</v>
      </c>
      <c r="C86" s="142" t="s">
        <v>628</v>
      </c>
      <c r="D86" s="482">
        <f>IFERROR(VLOOKUP(C86,Tabla15[[Piloto]:[Puntos clase]],7, FALSE), " ")</f>
        <v>2</v>
      </c>
      <c r="E86" s="482" t="str">
        <f>LEFT(AB86,LEN(AB86)-2)</f>
        <v>2</v>
      </c>
      <c r="F86" s="135">
        <v>0</v>
      </c>
      <c r="G86" s="135">
        <v>0</v>
      </c>
      <c r="H86" s="138">
        <f>(F86+G86)*2</f>
        <v>0</v>
      </c>
      <c r="I86" s="135">
        <v>0</v>
      </c>
      <c r="J86" s="135">
        <v>0</v>
      </c>
      <c r="K86" s="138">
        <f t="shared" si="13"/>
        <v>0</v>
      </c>
      <c r="L86" s="135">
        <f>IFERROR(VLOOKUP(C86,'03_TCT MAQUEDA'!$D$6:$M$36,10,FALSE),"")</f>
        <v>0</v>
      </c>
      <c r="M86" s="135">
        <f>IFERROR(VLOOKUP(C86,'03_TCT MAQUEDA'!$D$6:$O$36,12,FALSE),"")</f>
        <v>5</v>
      </c>
      <c r="N86" s="138">
        <f t="shared" ref="N86:N91" si="14">(L86+M86)</f>
        <v>5</v>
      </c>
      <c r="O86" s="135"/>
      <c r="P86" s="135"/>
      <c r="Q86" s="138"/>
      <c r="R86" s="135"/>
      <c r="S86" s="135"/>
      <c r="T86" s="138"/>
      <c r="U86" s="135"/>
      <c r="V86" s="135"/>
      <c r="W86" s="138"/>
      <c r="X86" s="139">
        <f t="shared" si="9"/>
        <v>5</v>
      </c>
      <c r="Y86" s="140" t="str">
        <f t="shared" si="10"/>
        <v>Sí</v>
      </c>
      <c r="Z86" s="141">
        <f t="shared" si="11"/>
        <v>3</v>
      </c>
      <c r="AB86" s="261" t="str">
        <f>IFERROR(VLOOKUP(C86,Tabla15[[Piloto]:[Puntos clase]],6, FALSE), " ")</f>
        <v>2RM</v>
      </c>
    </row>
    <row r="87" spans="2:28" ht="12.75" customHeight="1" x14ac:dyDescent="0.3">
      <c r="B87" s="133">
        <v>5</v>
      </c>
      <c r="C87" s="142" t="s">
        <v>674</v>
      </c>
      <c r="D87" s="482">
        <v>2</v>
      </c>
      <c r="E87" s="482">
        <v>2</v>
      </c>
      <c r="F87" s="138"/>
      <c r="G87" s="135"/>
      <c r="H87" s="135"/>
      <c r="I87" s="135">
        <f>IFERROR(VLOOKUP(C87,'02_TCT GUADAMUR'!$D$6:$M$36,10,FALSE),"")</f>
        <v>0</v>
      </c>
      <c r="J87" s="135">
        <f>IFERROR(VLOOKUP(C87,'02_TCT GUADAMUR'!$D$6:$O$36,12,FALSE),"")</f>
        <v>5</v>
      </c>
      <c r="K87" s="138">
        <f t="shared" si="13"/>
        <v>5</v>
      </c>
      <c r="L87" s="135">
        <v>0</v>
      </c>
      <c r="M87" s="135">
        <v>0</v>
      </c>
      <c r="N87" s="138">
        <f t="shared" si="14"/>
        <v>0</v>
      </c>
      <c r="O87" s="135"/>
      <c r="P87" s="135"/>
      <c r="Q87" s="138"/>
      <c r="R87" s="135"/>
      <c r="S87" s="135"/>
      <c r="T87" s="138"/>
      <c r="U87" s="135"/>
      <c r="V87" s="135"/>
      <c r="W87" s="138"/>
      <c r="X87" s="139">
        <f t="shared" si="9"/>
        <v>5</v>
      </c>
      <c r="Y87" s="140" t="str">
        <f t="shared" si="10"/>
        <v>No</v>
      </c>
      <c r="Z87" s="141">
        <f t="shared" si="11"/>
        <v>2</v>
      </c>
      <c r="AB87" s="261" t="str">
        <f>IFERROR(VLOOKUP(C87,Tabla15[[Piloto]:[Puntos clase]],6, FALSE), " ")</f>
        <v xml:space="preserve"> </v>
      </c>
    </row>
    <row r="88" spans="2:28" ht="12.75" customHeight="1" x14ac:dyDescent="0.3">
      <c r="B88" s="133">
        <v>6</v>
      </c>
      <c r="C88" s="142" t="s">
        <v>683</v>
      </c>
      <c r="D88" s="482">
        <v>4</v>
      </c>
      <c r="E88" s="482">
        <v>2</v>
      </c>
      <c r="F88" s="138"/>
      <c r="G88" s="135"/>
      <c r="H88" s="135"/>
      <c r="I88" s="135">
        <v>0</v>
      </c>
      <c r="J88" s="135">
        <v>0</v>
      </c>
      <c r="K88" s="138">
        <f t="shared" si="13"/>
        <v>0</v>
      </c>
      <c r="L88" s="135">
        <f>IFERROR(VLOOKUP(C88,'03_TCT MAQUEDA'!$D$6:$M$36,10,FALSE),"")</f>
        <v>0</v>
      </c>
      <c r="M88" s="135">
        <f>IFERROR(VLOOKUP(C88,'03_TCT MAQUEDA'!$D$6:$O$36,12,FALSE),"")</f>
        <v>5</v>
      </c>
      <c r="N88" s="138">
        <f t="shared" si="14"/>
        <v>5</v>
      </c>
      <c r="O88" s="135"/>
      <c r="P88" s="135"/>
      <c r="Q88" s="138"/>
      <c r="R88" s="135"/>
      <c r="S88" s="135"/>
      <c r="T88" s="138"/>
      <c r="U88" s="135"/>
      <c r="V88" s="135"/>
      <c r="W88" s="138"/>
      <c r="X88" s="139">
        <f t="shared" si="9"/>
        <v>5</v>
      </c>
      <c r="Y88" s="140" t="str">
        <f t="shared" si="10"/>
        <v>No</v>
      </c>
      <c r="Z88" s="141">
        <f t="shared" si="11"/>
        <v>2</v>
      </c>
      <c r="AB88" s="261" t="str">
        <f>IFERROR(VLOOKUP(C88,Tabla15[[Piloto]:[Puntos clase]],6, FALSE), " ")</f>
        <v xml:space="preserve"> </v>
      </c>
    </row>
    <row r="89" spans="2:28" ht="12.75" customHeight="1" x14ac:dyDescent="0.3">
      <c r="B89" s="133">
        <v>11</v>
      </c>
      <c r="C89" s="142" t="s">
        <v>607</v>
      </c>
      <c r="D89" s="482">
        <f>IFERROR(VLOOKUP(C89,Tabla15[[Piloto]:[Puntos clase]],7, FALSE), " ")</f>
        <v>3</v>
      </c>
      <c r="E89" s="482" t="str">
        <f>LEFT(AB89,LEN(AB89)-2)</f>
        <v>2</v>
      </c>
      <c r="F89" s="135">
        <f>IFERROR(VLOOKUP(C89,'01_RS ALCARRIA'!$D$6:$M$36,10,FALSE),"")</f>
        <v>0</v>
      </c>
      <c r="G89" s="135">
        <f>IFERROR(VLOOKUP(C89,'01_RS ALCARRIA'!$D$6:$O$36,12,FALSE),"")</f>
        <v>0</v>
      </c>
      <c r="H89" s="138">
        <f t="shared" ref="H89:H94" si="15">(F89+G89)*2</f>
        <v>0</v>
      </c>
      <c r="I89" s="135">
        <f>IFERROR(VLOOKUP(C89,'02_TCT GUADAMUR'!$D$6:$M$36,10,FALSE),"")</f>
        <v>0</v>
      </c>
      <c r="J89" s="135">
        <f>IFERROR(VLOOKUP(C89,'02_TCT GUADAMUR'!$D$6:$O$36,12,FALSE),"")</f>
        <v>0</v>
      </c>
      <c r="K89" s="138">
        <f t="shared" si="13"/>
        <v>0</v>
      </c>
      <c r="L89" s="135">
        <f>IFERROR(VLOOKUP(C89,'03_TCT MAQUEDA'!$D$6:$M$36,10,FALSE),"")</f>
        <v>0</v>
      </c>
      <c r="M89" s="135">
        <f>IFERROR(VLOOKUP(C89,'03_TCT MAQUEDA'!$D$6:$O$36,12,FALSE),"")</f>
        <v>3</v>
      </c>
      <c r="N89" s="138">
        <f t="shared" si="14"/>
        <v>3</v>
      </c>
      <c r="O89" s="135"/>
      <c r="P89" s="135"/>
      <c r="Q89" s="138"/>
      <c r="R89" s="135"/>
      <c r="S89" s="135"/>
      <c r="T89" s="138"/>
      <c r="U89" s="135"/>
      <c r="V89" s="135"/>
      <c r="W89" s="138"/>
      <c r="X89" s="139">
        <f t="shared" si="9"/>
        <v>3</v>
      </c>
      <c r="Y89" s="140" t="str">
        <f t="shared" si="10"/>
        <v>Sí</v>
      </c>
      <c r="Z89" s="141">
        <f t="shared" si="11"/>
        <v>3</v>
      </c>
      <c r="AB89" s="261" t="str">
        <f>IFERROR(VLOOKUP(C89,Tabla15[[Piloto]:[Puntos clase]],6, FALSE), " ")</f>
        <v>2RM</v>
      </c>
    </row>
    <row r="90" spans="2:28" ht="12.75" customHeight="1" x14ac:dyDescent="0.3">
      <c r="B90" s="133">
        <v>12</v>
      </c>
      <c r="C90" s="142" t="s">
        <v>604</v>
      </c>
      <c r="D90" s="482">
        <f>IFERROR(VLOOKUP(C90,Tabla15[[Piloto]:[Puntos clase]],7, FALSE), " ")</f>
        <v>3</v>
      </c>
      <c r="E90" s="482" t="str">
        <f>LEFT(AB90,LEN(AB90)-2)</f>
        <v>2</v>
      </c>
      <c r="F90" s="135">
        <f>IFERROR(VLOOKUP(C90,'01_RS ALCARRIA'!$D$6:$M$36,10,FALSE),"")</f>
        <v>0</v>
      </c>
      <c r="G90" s="135">
        <f>IFERROR(VLOOKUP(C90,'01_RS ALCARRIA'!$D$6:$O$36,12,FALSE),"")</f>
        <v>1</v>
      </c>
      <c r="H90" s="138">
        <f t="shared" si="15"/>
        <v>2</v>
      </c>
      <c r="I90" s="135">
        <f>IFERROR(VLOOKUP(C90,'02_TCT GUADAMUR'!$D$6:$M$36,10,FALSE),"")</f>
        <v>0</v>
      </c>
      <c r="J90" s="135">
        <f>IFERROR(VLOOKUP(C90,'02_TCT GUADAMUR'!$D$6:$O$36,12,FALSE),"")</f>
        <v>0</v>
      </c>
      <c r="K90" s="138">
        <f t="shared" si="13"/>
        <v>0</v>
      </c>
      <c r="L90" s="135">
        <v>0</v>
      </c>
      <c r="M90" s="135">
        <v>0</v>
      </c>
      <c r="N90" s="138">
        <f t="shared" si="14"/>
        <v>0</v>
      </c>
      <c r="O90" s="135"/>
      <c r="P90" s="135"/>
      <c r="Q90" s="138"/>
      <c r="R90" s="135"/>
      <c r="S90" s="135"/>
      <c r="T90" s="138"/>
      <c r="U90" s="135"/>
      <c r="V90" s="135"/>
      <c r="W90" s="138"/>
      <c r="X90" s="139">
        <f t="shared" si="9"/>
        <v>2</v>
      </c>
      <c r="Y90" s="140" t="str">
        <f t="shared" si="10"/>
        <v>Sí</v>
      </c>
      <c r="Z90" s="141">
        <f t="shared" si="11"/>
        <v>3</v>
      </c>
      <c r="AB90" s="261" t="str">
        <f>IFERROR(VLOOKUP(C90,Tabla15[[Piloto]:[Puntos clase]],6, FALSE), " ")</f>
        <v>2RM</v>
      </c>
    </row>
    <row r="91" spans="2:28" ht="12.75" customHeight="1" x14ac:dyDescent="0.3">
      <c r="B91" s="133">
        <v>13</v>
      </c>
      <c r="C91" s="142" t="s">
        <v>319</v>
      </c>
      <c r="D91" s="482">
        <f>IFERROR(VLOOKUP(C91,Tabla15[[Piloto]:[Puntos clase]],7, FALSE), " ")</f>
        <v>3</v>
      </c>
      <c r="E91" s="482" t="str">
        <f>LEFT(AB91,LEN(AB91)-2)</f>
        <v>2</v>
      </c>
      <c r="F91" s="135">
        <f>IFERROR(VLOOKUP(C91,'01_RS ALCARRIA'!$D$6:$M$36,10,FALSE),"")</f>
        <v>0</v>
      </c>
      <c r="G91" s="135">
        <f>IFERROR(VLOOKUP(C91,'01_RS ALCARRIA'!$D$6:$O$36,12,FALSE),"")</f>
        <v>0</v>
      </c>
      <c r="H91" s="138">
        <f t="shared" si="15"/>
        <v>0</v>
      </c>
      <c r="I91" s="135"/>
      <c r="J91" s="135"/>
      <c r="K91" s="138"/>
      <c r="L91" s="135">
        <f>IFERROR(VLOOKUP(C91,'03_TCT MAQUEDA'!$D$6:$M$36,10,FALSE),"")</f>
        <v>0</v>
      </c>
      <c r="M91" s="135">
        <f>IFERROR(VLOOKUP(C91,'03_TCT MAQUEDA'!$D$6:$O$36,12,FALSE),"")</f>
        <v>1</v>
      </c>
      <c r="N91" s="138">
        <f t="shared" si="14"/>
        <v>1</v>
      </c>
      <c r="O91" s="135"/>
      <c r="P91" s="135"/>
      <c r="Q91" s="138"/>
      <c r="R91" s="135"/>
      <c r="S91" s="135"/>
      <c r="T91" s="138"/>
      <c r="U91" s="135"/>
      <c r="V91" s="135"/>
      <c r="W91" s="138"/>
      <c r="X91" s="139">
        <f t="shared" si="9"/>
        <v>1</v>
      </c>
      <c r="Y91" s="140" t="str">
        <f t="shared" si="10"/>
        <v>No</v>
      </c>
      <c r="Z91" s="141">
        <f t="shared" si="11"/>
        <v>2</v>
      </c>
      <c r="AB91" s="261" t="str">
        <f>IFERROR(VLOOKUP(C91,Tabla15[[Piloto]:[Puntos clase]],6, FALSE), " ")</f>
        <v>2RM</v>
      </c>
    </row>
    <row r="92" spans="2:28" ht="12.75" customHeight="1" x14ac:dyDescent="0.3">
      <c r="B92" s="133" t="s">
        <v>658</v>
      </c>
      <c r="C92" s="142" t="s">
        <v>619</v>
      </c>
      <c r="D92" s="482">
        <f>IFERROR(VLOOKUP(C92,Tabla15[[Piloto]:[Puntos clase]],7, FALSE), " ")</f>
        <v>3</v>
      </c>
      <c r="E92" s="482" t="str">
        <f>LEFT(AB92,LEN(AB92)-2)</f>
        <v>2</v>
      </c>
      <c r="F92" s="135">
        <f>IFERROR(VLOOKUP(C92,'01_RS ALCARRIA'!$D$6:$M$36,10,FALSE),"")</f>
        <v>0</v>
      </c>
      <c r="G92" s="135">
        <f>IFERROR(VLOOKUP(C92,'01_RS ALCARRIA'!$D$6:$O$36,12,FALSE),"")</f>
        <v>0</v>
      </c>
      <c r="H92" s="138">
        <f t="shared" si="15"/>
        <v>0</v>
      </c>
      <c r="I92" s="135"/>
      <c r="J92" s="135"/>
      <c r="K92" s="138"/>
      <c r="L92" s="135"/>
      <c r="M92" s="135"/>
      <c r="N92" s="138"/>
      <c r="O92" s="135"/>
      <c r="P92" s="135"/>
      <c r="Q92" s="138"/>
      <c r="R92" s="135"/>
      <c r="S92" s="135"/>
      <c r="T92" s="138"/>
      <c r="U92" s="135"/>
      <c r="V92" s="135"/>
      <c r="W92" s="138"/>
      <c r="X92" s="139">
        <f t="shared" si="9"/>
        <v>0</v>
      </c>
      <c r="Y92" s="140" t="str">
        <f t="shared" si="10"/>
        <v>No</v>
      </c>
      <c r="Z92" s="141">
        <f t="shared" si="11"/>
        <v>1</v>
      </c>
      <c r="AB92" s="261" t="str">
        <f>IFERROR(VLOOKUP(C92,Tabla15[[Piloto]:[Puntos clase]],6, FALSE), " ")</f>
        <v>2RM</v>
      </c>
    </row>
    <row r="93" spans="2:28" ht="12.75" customHeight="1" x14ac:dyDescent="0.3">
      <c r="B93" s="133" t="s">
        <v>658</v>
      </c>
      <c r="C93" s="142" t="s">
        <v>635</v>
      </c>
      <c r="D93" s="482">
        <f>IFERROR(VLOOKUP(C93,Tabla15[[Piloto]:[Puntos clase]],7, FALSE), " ")</f>
        <v>5</v>
      </c>
      <c r="E93" s="482">
        <v>2</v>
      </c>
      <c r="F93" s="135">
        <v>0</v>
      </c>
      <c r="G93" s="135">
        <v>0</v>
      </c>
      <c r="H93" s="138">
        <f t="shared" si="15"/>
        <v>0</v>
      </c>
      <c r="I93" s="135"/>
      <c r="J93" s="135"/>
      <c r="K93" s="138"/>
      <c r="L93" s="135"/>
      <c r="M93" s="135"/>
      <c r="N93" s="138"/>
      <c r="O93" s="135"/>
      <c r="P93" s="135"/>
      <c r="Q93" s="138"/>
      <c r="R93" s="135"/>
      <c r="S93" s="135"/>
      <c r="T93" s="138"/>
      <c r="U93" s="135"/>
      <c r="V93" s="135"/>
      <c r="W93" s="138"/>
      <c r="X93" s="139">
        <f t="shared" si="9"/>
        <v>0</v>
      </c>
      <c r="Y93" s="140" t="str">
        <f t="shared" si="10"/>
        <v>No</v>
      </c>
      <c r="Z93" s="141">
        <f t="shared" si="11"/>
        <v>1</v>
      </c>
      <c r="AB93" s="261" t="str">
        <f>IFERROR(VLOOKUP(C93,Tabla15[[Piloto]:[Puntos clase]],6, FALSE), " ")</f>
        <v>2RM</v>
      </c>
    </row>
    <row r="94" spans="2:28" ht="12.75" customHeight="1" x14ac:dyDescent="0.3">
      <c r="B94" s="133" t="s">
        <v>658</v>
      </c>
      <c r="C94" s="142" t="s">
        <v>637</v>
      </c>
      <c r="D94" s="482">
        <f>IFERROR(VLOOKUP(C94,Tabla15[[Piloto]:[Puntos clase]],7, FALSE), " ")</f>
        <v>4</v>
      </c>
      <c r="E94" s="482">
        <v>2</v>
      </c>
      <c r="F94" s="135">
        <v>0</v>
      </c>
      <c r="G94" s="135">
        <v>0</v>
      </c>
      <c r="H94" s="138">
        <f t="shared" si="15"/>
        <v>0</v>
      </c>
      <c r="I94" s="135"/>
      <c r="J94" s="135"/>
      <c r="K94" s="138"/>
      <c r="L94" s="135"/>
      <c r="M94" s="135"/>
      <c r="N94" s="138"/>
      <c r="O94" s="135"/>
      <c r="P94" s="135"/>
      <c r="Q94" s="138"/>
      <c r="R94" s="135"/>
      <c r="S94" s="135"/>
      <c r="T94" s="138"/>
      <c r="U94" s="135"/>
      <c r="V94" s="135"/>
      <c r="W94" s="138"/>
      <c r="X94" s="139">
        <f t="shared" si="9"/>
        <v>0</v>
      </c>
      <c r="Y94" s="140" t="str">
        <f t="shared" si="10"/>
        <v>No</v>
      </c>
      <c r="Z94" s="141">
        <f t="shared" si="11"/>
        <v>1</v>
      </c>
      <c r="AB94" s="261" t="str">
        <f>IFERROR(VLOOKUP(C94,Tabla15[[Piloto]:[Puntos clase]],6, FALSE), " ")</f>
        <v>2RM</v>
      </c>
    </row>
    <row r="95" spans="2:28" ht="12.75" customHeight="1" x14ac:dyDescent="0.3">
      <c r="B95" s="133" t="s">
        <v>658</v>
      </c>
      <c r="C95" s="142" t="s">
        <v>238</v>
      </c>
      <c r="D95" s="482">
        <v>1</v>
      </c>
      <c r="E95" s="482">
        <v>4</v>
      </c>
      <c r="F95" s="138"/>
      <c r="G95" s="135"/>
      <c r="H95" s="135"/>
      <c r="I95" s="135">
        <v>0</v>
      </c>
      <c r="J95" s="135">
        <v>0</v>
      </c>
      <c r="K95" s="138">
        <f>(I95+J95)</f>
        <v>0</v>
      </c>
      <c r="L95" s="135"/>
      <c r="M95" s="135"/>
      <c r="N95" s="138"/>
      <c r="O95" s="135"/>
      <c r="P95" s="135"/>
      <c r="Q95" s="138"/>
      <c r="R95" s="135"/>
      <c r="S95" s="135"/>
      <c r="T95" s="138"/>
      <c r="U95" s="135"/>
      <c r="V95" s="135"/>
      <c r="W95" s="138"/>
      <c r="X95" s="139">
        <f t="shared" si="9"/>
        <v>0</v>
      </c>
      <c r="Y95" s="140" t="str">
        <f t="shared" si="10"/>
        <v>No</v>
      </c>
      <c r="Z95" s="141">
        <f t="shared" si="11"/>
        <v>1</v>
      </c>
      <c r="AB95" s="261" t="str">
        <f>IFERROR(VLOOKUP(C95,Tabla15[[Piloto]:[Puntos clase]],6, FALSE), " ")</f>
        <v xml:space="preserve"> </v>
      </c>
    </row>
    <row r="96" spans="2:28" ht="12.75" customHeight="1" x14ac:dyDescent="0.3">
      <c r="B96" s="133" t="s">
        <v>658</v>
      </c>
      <c r="C96" s="142" t="s">
        <v>680</v>
      </c>
      <c r="D96" s="482">
        <v>3</v>
      </c>
      <c r="E96" s="482">
        <v>2</v>
      </c>
      <c r="F96" s="138"/>
      <c r="G96" s="135"/>
      <c r="H96" s="135"/>
      <c r="I96" s="135">
        <v>0</v>
      </c>
      <c r="J96" s="135">
        <v>0</v>
      </c>
      <c r="K96" s="138">
        <f>(I96+J96)</f>
        <v>0</v>
      </c>
      <c r="L96" s="135">
        <v>0</v>
      </c>
      <c r="M96" s="135">
        <v>0</v>
      </c>
      <c r="N96" s="138">
        <f>(L96+M96)</f>
        <v>0</v>
      </c>
      <c r="O96" s="135"/>
      <c r="P96" s="135"/>
      <c r="Q96" s="138"/>
      <c r="R96" s="135"/>
      <c r="S96" s="135"/>
      <c r="T96" s="138"/>
      <c r="U96" s="135"/>
      <c r="V96" s="135"/>
      <c r="W96" s="138"/>
      <c r="X96" s="139">
        <f t="shared" si="9"/>
        <v>0</v>
      </c>
      <c r="Y96" s="140"/>
      <c r="Z96" s="141"/>
    </row>
    <row r="97" spans="2:29" ht="12.75" customHeight="1" x14ac:dyDescent="0.3">
      <c r="B97" s="133" t="s">
        <v>658</v>
      </c>
      <c r="C97" s="142" t="s">
        <v>410</v>
      </c>
      <c r="D97" s="227">
        <v>3</v>
      </c>
      <c r="E97" s="227">
        <v>2</v>
      </c>
      <c r="F97" s="138"/>
      <c r="G97" s="135"/>
      <c r="H97" s="135"/>
      <c r="I97" s="135"/>
      <c r="J97" s="135"/>
      <c r="K97" s="138"/>
      <c r="L97" s="135">
        <v>0</v>
      </c>
      <c r="M97" s="135">
        <v>0</v>
      </c>
      <c r="N97" s="138">
        <f>(L97+M97)</f>
        <v>0</v>
      </c>
      <c r="O97" s="135"/>
      <c r="P97" s="135"/>
      <c r="Q97" s="138"/>
      <c r="R97" s="135"/>
      <c r="S97" s="135"/>
      <c r="T97" s="138"/>
      <c r="U97" s="135"/>
      <c r="V97" s="135"/>
      <c r="W97" s="138"/>
      <c r="X97" s="139">
        <f t="shared" si="9"/>
        <v>0</v>
      </c>
      <c r="Y97" s="140"/>
      <c r="Z97" s="141"/>
    </row>
    <row r="98" spans="2:29" ht="12.75" customHeight="1" x14ac:dyDescent="0.3">
      <c r="B98" s="133" t="s">
        <v>658</v>
      </c>
      <c r="C98" s="142" t="s">
        <v>702</v>
      </c>
      <c r="D98" s="227">
        <v>3</v>
      </c>
      <c r="E98" s="227">
        <v>2</v>
      </c>
      <c r="F98" s="138"/>
      <c r="G98" s="135"/>
      <c r="H98" s="135"/>
      <c r="I98" s="135"/>
      <c r="J98" s="135"/>
      <c r="K98" s="138"/>
      <c r="L98" s="135">
        <v>0</v>
      </c>
      <c r="M98" s="135">
        <v>0</v>
      </c>
      <c r="N98" s="138">
        <f>(L98+M98)</f>
        <v>0</v>
      </c>
      <c r="O98" s="135"/>
      <c r="P98" s="135"/>
      <c r="Q98" s="138"/>
      <c r="R98" s="135"/>
      <c r="S98" s="135"/>
      <c r="T98" s="138"/>
      <c r="U98" s="135"/>
      <c r="V98" s="135"/>
      <c r="W98" s="138"/>
      <c r="X98" s="139">
        <f t="shared" si="9"/>
        <v>0</v>
      </c>
      <c r="Y98" s="140"/>
      <c r="Z98" s="141"/>
    </row>
    <row r="99" spans="2:29" ht="12.75" customHeight="1" x14ac:dyDescent="0.3">
      <c r="B99" s="133" t="s">
        <v>658</v>
      </c>
      <c r="C99" s="142" t="s">
        <v>238</v>
      </c>
      <c r="D99" s="227">
        <v>4</v>
      </c>
      <c r="E99" s="227">
        <v>2</v>
      </c>
      <c r="F99" s="135"/>
      <c r="G99" s="135"/>
      <c r="H99" s="138"/>
      <c r="I99" s="135"/>
      <c r="J99" s="135"/>
      <c r="K99" s="138"/>
      <c r="L99" s="135">
        <v>0</v>
      </c>
      <c r="M99" s="135">
        <v>0</v>
      </c>
      <c r="N99" s="138">
        <f>(L99+M99)</f>
        <v>0</v>
      </c>
      <c r="O99" s="135"/>
      <c r="P99" s="135"/>
      <c r="Q99" s="138"/>
      <c r="R99" s="135"/>
      <c r="S99" s="135"/>
      <c r="T99" s="138"/>
      <c r="U99" s="135"/>
      <c r="V99" s="135"/>
      <c r="W99" s="138"/>
      <c r="X99" s="139">
        <f t="shared" si="9"/>
        <v>0</v>
      </c>
      <c r="Y99" s="140"/>
      <c r="Z99" s="141"/>
    </row>
    <row r="100" spans="2:29" ht="12.75" customHeight="1" x14ac:dyDescent="0.3">
      <c r="B100" s="144"/>
      <c r="C100" s="145"/>
      <c r="D100" s="146"/>
      <c r="E100" s="146"/>
      <c r="F100" s="146"/>
      <c r="G100" s="146"/>
      <c r="H100" s="146"/>
      <c r="I100" s="146"/>
      <c r="J100" s="146"/>
      <c r="K100" s="146"/>
      <c r="L100" s="146"/>
      <c r="M100" s="146"/>
      <c r="N100" s="146"/>
      <c r="O100" s="146"/>
      <c r="P100" s="146"/>
      <c r="Q100" s="146"/>
      <c r="R100" s="146"/>
      <c r="S100" s="146"/>
      <c r="T100" s="146"/>
      <c r="U100" s="146"/>
      <c r="V100" s="146"/>
      <c r="W100" s="146"/>
      <c r="X100" s="146"/>
      <c r="Y100" s="143"/>
      <c r="Z100" s="147"/>
      <c r="AA100" s="148"/>
      <c r="AB100" s="262"/>
    </row>
    <row r="101" spans="2:29" ht="12.75" customHeight="1" x14ac:dyDescent="0.3">
      <c r="B101" s="144"/>
      <c r="C101" s="145"/>
      <c r="D101" s="146"/>
      <c r="E101" s="146"/>
      <c r="F101" s="146"/>
      <c r="G101" s="146"/>
      <c r="H101" s="146"/>
      <c r="I101" s="146"/>
      <c r="J101" s="146"/>
      <c r="K101" s="146"/>
      <c r="L101" s="146"/>
      <c r="M101" s="146"/>
      <c r="N101" s="146"/>
      <c r="O101" s="146"/>
      <c r="P101" s="146"/>
      <c r="Q101" s="146"/>
      <c r="R101" s="146"/>
      <c r="S101" s="146"/>
      <c r="T101" s="146"/>
      <c r="U101" s="146"/>
      <c r="V101" s="146"/>
      <c r="W101" s="146"/>
      <c r="X101" s="146"/>
      <c r="Y101" s="149"/>
      <c r="Z101" s="147"/>
      <c r="AA101" s="148"/>
      <c r="AB101" s="262"/>
    </row>
    <row r="102" spans="2:29" ht="12" x14ac:dyDescent="0.3">
      <c r="B102" s="144"/>
      <c r="C102" s="235"/>
      <c r="D102" s="228" t="s">
        <v>6</v>
      </c>
      <c r="E102" s="347" t="s">
        <v>5</v>
      </c>
      <c r="F102" s="146"/>
      <c r="G102" s="146"/>
      <c r="H102" s="146"/>
      <c r="I102" s="146"/>
      <c r="J102" s="146"/>
      <c r="K102" s="146"/>
      <c r="L102" s="146"/>
      <c r="M102" s="146"/>
      <c r="N102" s="146"/>
      <c r="O102" s="146"/>
      <c r="P102" s="146"/>
      <c r="Q102" s="146"/>
      <c r="R102" s="146"/>
      <c r="S102" s="146"/>
      <c r="T102" s="146"/>
      <c r="U102" s="146"/>
      <c r="V102" s="146"/>
      <c r="W102" s="146"/>
      <c r="X102" s="146"/>
      <c r="Y102" s="149"/>
      <c r="Z102" s="147"/>
      <c r="AA102" s="148"/>
      <c r="AB102" s="262"/>
    </row>
    <row r="103" spans="2:29" ht="3.75" customHeight="1" thickBot="1" x14ac:dyDescent="0.35">
      <c r="B103" s="1"/>
      <c r="C103" s="235"/>
      <c r="D103" s="146"/>
      <c r="E103" s="347"/>
      <c r="F103" s="2"/>
      <c r="G103" s="2"/>
      <c r="H103" s="3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5"/>
      <c r="AC103" s="2"/>
    </row>
    <row r="104" spans="2:29" ht="12.75" customHeight="1" thickBot="1" x14ac:dyDescent="0.35">
      <c r="B104" s="1"/>
      <c r="C104" s="235"/>
      <c r="D104" s="233">
        <v>2</v>
      </c>
      <c r="E104" s="347" t="s">
        <v>7</v>
      </c>
      <c r="F104" s="147"/>
      <c r="G104" s="147"/>
      <c r="H104" s="147"/>
      <c r="I104" s="147"/>
      <c r="J104" s="147"/>
      <c r="K104" s="147"/>
      <c r="L104" s="147"/>
      <c r="M104" s="147"/>
      <c r="N104" s="147"/>
      <c r="O104" s="147"/>
      <c r="P104" s="147"/>
      <c r="Q104" s="147"/>
      <c r="R104" s="147"/>
      <c r="S104" s="147"/>
      <c r="T104" s="147"/>
      <c r="U104" s="147"/>
      <c r="V104" s="147"/>
      <c r="W104" s="147"/>
      <c r="X104" s="147"/>
      <c r="Y104" s="147"/>
      <c r="Z104" s="147"/>
      <c r="AA104" s="148"/>
      <c r="AB104" s="262"/>
    </row>
    <row r="105" spans="2:29" ht="3.75" customHeight="1" x14ac:dyDescent="0.3">
      <c r="B105" s="1"/>
      <c r="C105" s="235"/>
      <c r="D105" s="146"/>
      <c r="E105" s="120"/>
      <c r="F105" s="2"/>
      <c r="G105" s="2"/>
      <c r="H105" s="3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5"/>
      <c r="AC105" s="2"/>
    </row>
    <row r="106" spans="2:29" ht="12.75" customHeight="1" x14ac:dyDescent="0.3">
      <c r="B106" s="1"/>
      <c r="C106" s="235"/>
      <c r="D106" s="284"/>
      <c r="E106" s="285" t="s">
        <v>534</v>
      </c>
      <c r="F106" s="147"/>
      <c r="G106" s="147"/>
      <c r="H106" s="147"/>
      <c r="I106" s="147"/>
      <c r="J106" s="147"/>
      <c r="K106" s="147"/>
      <c r="L106" s="147"/>
      <c r="M106" s="147"/>
      <c r="N106" s="147"/>
      <c r="O106" s="147"/>
      <c r="P106" s="147"/>
      <c r="Q106" s="147"/>
      <c r="R106" s="147"/>
      <c r="S106" s="147"/>
      <c r="T106" s="147"/>
      <c r="U106" s="147"/>
      <c r="V106" s="147"/>
      <c r="W106" s="147"/>
      <c r="X106" s="147"/>
      <c r="Y106" s="147"/>
      <c r="Z106" s="147"/>
      <c r="AA106" s="148"/>
      <c r="AB106" s="262"/>
    </row>
    <row r="107" spans="2:29" ht="3.75" customHeight="1" x14ac:dyDescent="0.3">
      <c r="B107" s="1"/>
      <c r="C107" s="235"/>
      <c r="D107" s="239"/>
      <c r="E107" s="120"/>
      <c r="F107" s="147"/>
      <c r="G107" s="147"/>
      <c r="H107" s="147"/>
      <c r="I107" s="147"/>
      <c r="J107" s="147"/>
      <c r="K107" s="147"/>
      <c r="L107" s="147"/>
      <c r="M107" s="147"/>
      <c r="N107" s="147"/>
      <c r="O107" s="147"/>
      <c r="P107" s="147"/>
      <c r="Q107" s="147"/>
      <c r="R107" s="147"/>
      <c r="S107" s="147"/>
      <c r="T107" s="147"/>
      <c r="U107" s="147"/>
      <c r="V107" s="147"/>
      <c r="W107" s="147"/>
      <c r="X107" s="147"/>
      <c r="Y107" s="147"/>
      <c r="Z107" s="147"/>
      <c r="AA107" s="148"/>
      <c r="AB107" s="262"/>
    </row>
    <row r="108" spans="2:29" ht="13.5" customHeight="1" x14ac:dyDescent="0.3">
      <c r="B108" s="1"/>
      <c r="C108" s="236"/>
      <c r="D108" s="142" t="s">
        <v>691</v>
      </c>
      <c r="E108" s="130" t="s">
        <v>692</v>
      </c>
      <c r="F108" s="147"/>
      <c r="G108" s="147"/>
      <c r="H108" s="147"/>
      <c r="I108" s="147"/>
      <c r="J108" s="147"/>
      <c r="K108" s="147"/>
      <c r="L108" s="147"/>
      <c r="M108" s="147"/>
      <c r="N108" s="147"/>
      <c r="O108" s="147"/>
      <c r="P108" s="147"/>
      <c r="Q108" s="147"/>
      <c r="R108" s="147"/>
      <c r="S108" s="147"/>
      <c r="T108" s="147"/>
      <c r="U108" s="147"/>
      <c r="V108" s="147"/>
      <c r="W108" s="147"/>
      <c r="X108" s="147"/>
      <c r="Y108" s="147"/>
      <c r="Z108" s="147"/>
      <c r="AA108" s="148"/>
      <c r="AB108" s="262"/>
    </row>
    <row r="109" spans="2:29" ht="39" customHeight="1" x14ac:dyDescent="0.55000000000000004">
      <c r="B109" s="164" t="s">
        <v>516</v>
      </c>
      <c r="C109" s="165"/>
      <c r="D109" s="165"/>
      <c r="E109" s="165"/>
      <c r="F109" s="165"/>
      <c r="G109" s="165"/>
      <c r="H109" s="165"/>
      <c r="I109" s="165"/>
      <c r="J109" s="165"/>
      <c r="K109" s="165"/>
      <c r="L109" s="165"/>
      <c r="M109" s="165"/>
      <c r="N109" s="165"/>
      <c r="O109" s="165"/>
      <c r="P109" s="165"/>
      <c r="Q109" s="165"/>
      <c r="R109" s="165"/>
      <c r="S109" s="165"/>
      <c r="T109" s="165"/>
      <c r="U109" s="165"/>
      <c r="V109" s="165"/>
      <c r="W109" s="165"/>
      <c r="X109" s="165"/>
    </row>
    <row r="110" spans="2:29" ht="37.5" customHeight="1" x14ac:dyDescent="0.3">
      <c r="B110" s="166" t="s">
        <v>338</v>
      </c>
      <c r="C110" s="167"/>
      <c r="D110" s="167"/>
      <c r="E110" s="167"/>
      <c r="F110" s="167"/>
      <c r="G110" s="167"/>
      <c r="H110" s="167"/>
      <c r="I110" s="167"/>
      <c r="J110" s="167"/>
      <c r="K110" s="167"/>
      <c r="L110" s="167"/>
      <c r="M110" s="167"/>
      <c r="N110" s="167"/>
      <c r="O110" s="167"/>
      <c r="P110" s="167"/>
      <c r="Q110" s="167"/>
      <c r="R110" s="167"/>
      <c r="S110" s="167"/>
      <c r="T110" s="167"/>
      <c r="U110" s="167"/>
      <c r="V110" s="167"/>
      <c r="W110" s="167"/>
      <c r="X110" s="167"/>
      <c r="Y110" s="30"/>
      <c r="Z110" s="30"/>
    </row>
    <row r="111" spans="2:29" ht="12.75" customHeight="1" x14ac:dyDescent="0.3">
      <c r="B111" s="162"/>
      <c r="C111" s="168"/>
      <c r="D111" s="161"/>
      <c r="E111" s="161"/>
      <c r="F111" s="222" t="s">
        <v>220</v>
      </c>
      <c r="G111" s="223"/>
      <c r="H111" s="224"/>
      <c r="I111" s="222" t="s">
        <v>663</v>
      </c>
      <c r="J111" s="225"/>
      <c r="K111" s="226"/>
      <c r="L111" s="222" t="s">
        <v>532</v>
      </c>
      <c r="M111" s="225"/>
      <c r="N111" s="226"/>
      <c r="O111" s="222" t="s">
        <v>526</v>
      </c>
      <c r="P111" s="225"/>
      <c r="Q111" s="226"/>
      <c r="R111" s="222" t="s">
        <v>287</v>
      </c>
      <c r="S111" s="225"/>
      <c r="T111" s="226"/>
      <c r="U111" s="413" t="s">
        <v>527</v>
      </c>
      <c r="V111" s="226"/>
      <c r="W111" s="226"/>
      <c r="X111" s="161" t="s">
        <v>213</v>
      </c>
      <c r="Y111" s="30"/>
      <c r="Z111" s="30"/>
    </row>
    <row r="112" spans="2:29" ht="12.75" customHeight="1" x14ac:dyDescent="0.3">
      <c r="B112" s="159" t="s">
        <v>0</v>
      </c>
      <c r="C112" s="170" t="s">
        <v>166</v>
      </c>
      <c r="D112" s="160" t="s">
        <v>2</v>
      </c>
      <c r="E112" s="160" t="s">
        <v>3</v>
      </c>
      <c r="F112" s="217" t="s">
        <v>523</v>
      </c>
      <c r="G112" s="218"/>
      <c r="H112" s="219"/>
      <c r="I112" s="217" t="s">
        <v>525</v>
      </c>
      <c r="J112" s="220"/>
      <c r="K112" s="221"/>
      <c r="L112" s="217" t="s">
        <v>664</v>
      </c>
      <c r="M112" s="220"/>
      <c r="N112" s="221"/>
      <c r="O112" s="217" t="s">
        <v>529</v>
      </c>
      <c r="P112" s="220"/>
      <c r="Q112" s="221"/>
      <c r="R112" s="217" t="s">
        <v>530</v>
      </c>
      <c r="S112" s="220"/>
      <c r="T112" s="221"/>
      <c r="U112" s="414" t="s">
        <v>528</v>
      </c>
      <c r="V112" s="255"/>
      <c r="W112" s="415"/>
      <c r="X112" s="160" t="s">
        <v>9</v>
      </c>
      <c r="Y112" s="519" t="s">
        <v>223</v>
      </c>
      <c r="Z112" s="521" t="s">
        <v>4</v>
      </c>
    </row>
    <row r="113" spans="2:35" ht="12.75" customHeight="1" thickBot="1" x14ac:dyDescent="0.35">
      <c r="B113" s="163"/>
      <c r="C113" s="169"/>
      <c r="D113" s="157"/>
      <c r="E113" s="476"/>
      <c r="F113" s="131" t="s">
        <v>33</v>
      </c>
      <c r="G113" s="131" t="s">
        <v>34</v>
      </c>
      <c r="H113" s="132" t="s">
        <v>35</v>
      </c>
      <c r="I113" s="131" t="s">
        <v>33</v>
      </c>
      <c r="J113" s="131" t="s">
        <v>34</v>
      </c>
      <c r="K113" s="132" t="s">
        <v>35</v>
      </c>
      <c r="L113" s="131" t="s">
        <v>33</v>
      </c>
      <c r="M113" s="131" t="s">
        <v>34</v>
      </c>
      <c r="N113" s="132" t="s">
        <v>35</v>
      </c>
      <c r="O113" s="131" t="s">
        <v>33</v>
      </c>
      <c r="P113" s="131" t="s">
        <v>34</v>
      </c>
      <c r="Q113" s="132" t="s">
        <v>35</v>
      </c>
      <c r="R113" s="131" t="s">
        <v>33</v>
      </c>
      <c r="S113" s="131" t="s">
        <v>34</v>
      </c>
      <c r="T113" s="132" t="s">
        <v>35</v>
      </c>
      <c r="U113" s="131" t="s">
        <v>33</v>
      </c>
      <c r="V113" s="131" t="s">
        <v>34</v>
      </c>
      <c r="W113" s="132" t="s">
        <v>35</v>
      </c>
      <c r="X113" s="157"/>
      <c r="Y113" s="520"/>
      <c r="Z113" s="522"/>
    </row>
    <row r="114" spans="2:35" ht="12.75" customHeight="1" thickBot="1" x14ac:dyDescent="0.35">
      <c r="B114" s="133">
        <v>1</v>
      </c>
      <c r="C114" s="142" t="s">
        <v>575</v>
      </c>
      <c r="D114" s="481">
        <v>2</v>
      </c>
      <c r="E114" s="477" t="str">
        <f>LEFT(AB114,LEN(AB114)-2)</f>
        <v>2</v>
      </c>
      <c r="F114" s="475">
        <f>IFERROR(VLOOKUP(C114,'01_RS ALCARRIA'!$F$6:$R$36,13,FALSE),"")</f>
        <v>25</v>
      </c>
      <c r="G114" s="135">
        <f>IFERROR(VLOOKUP(C114,'01_RS ALCARRIA'!$F$6:$T$36,15,FALSE),"")</f>
        <v>10</v>
      </c>
      <c r="H114" s="138">
        <f>(F114+G114)*2</f>
        <v>70</v>
      </c>
      <c r="I114" s="135">
        <f>IFERROR(VLOOKUP(C114,'02_TCT GUADAMUR'!$F$6:$R$36,13,FALSE),"")</f>
        <v>17</v>
      </c>
      <c r="J114" s="135">
        <f>IFERROR(VLOOKUP(C114,'02_TCT GUADAMUR'!$F$6:$T$36,15,FALSE),"")</f>
        <v>6</v>
      </c>
      <c r="K114" s="138">
        <f t="shared" ref="K114:K121" si="16">(I114+J114)</f>
        <v>23</v>
      </c>
      <c r="L114" s="135">
        <f>IFERROR(VLOOKUP(C114,'03_TCT MAQUEDA'!$F$6:$R$36,13,FALSE),"")</f>
        <v>17</v>
      </c>
      <c r="M114" s="135">
        <f>IFERROR(VLOOKUP(C114,'03_TCT MAQUEDA'!$F$6:$T$36,15,FALSE),"")</f>
        <v>10</v>
      </c>
      <c r="N114" s="138">
        <f>(L114+M114)</f>
        <v>27</v>
      </c>
      <c r="O114" s="135"/>
      <c r="P114" s="135"/>
      <c r="Q114" s="138"/>
      <c r="R114" s="135"/>
      <c r="S114" s="135"/>
      <c r="T114" s="138"/>
      <c r="U114" s="135"/>
      <c r="V114" s="135"/>
      <c r="W114" s="138"/>
      <c r="X114" s="139">
        <f t="shared" ref="X114:X150" si="17">H114+K114+N114+Q114+T114+W114</f>
        <v>120</v>
      </c>
      <c r="Y114" s="140" t="str">
        <f>IF(Z114&gt;=3,"Sí","No")</f>
        <v>Sí</v>
      </c>
      <c r="Z114" s="141">
        <f>COUNTA(H114,K114,N114,Q114,T114,W114)</f>
        <v>3</v>
      </c>
      <c r="AA114" s="148"/>
      <c r="AB114" s="262" t="str">
        <f>IFERROR(VLOOKUP(C114,Tabla15[[Piloto2]:[Puntos clase5]],4, FALSE), " ")</f>
        <v>2RM</v>
      </c>
    </row>
    <row r="115" spans="2:35" ht="12.75" customHeight="1" x14ac:dyDescent="0.3">
      <c r="B115" s="133">
        <v>2</v>
      </c>
      <c r="C115" s="142" t="s">
        <v>577</v>
      </c>
      <c r="D115" s="481">
        <v>2</v>
      </c>
      <c r="E115" s="483" t="str">
        <f>LEFT(AB115,LEN(AB115)-2)</f>
        <v>2</v>
      </c>
      <c r="F115" s="475">
        <f>IFERROR(VLOOKUP(C115,'01_RS ALCARRIA'!$F$6:$R$36,13,FALSE),"")</f>
        <v>20</v>
      </c>
      <c r="G115" s="135">
        <f>IFERROR(VLOOKUP(C115,'01_RS ALCARRIA'!$F$6:$T$36,15,FALSE),"")</f>
        <v>8</v>
      </c>
      <c r="H115" s="138">
        <f>(F115+G115)*2</f>
        <v>56</v>
      </c>
      <c r="I115" s="135">
        <f>IFERROR(VLOOKUP(C115,'02_TCT GUADAMUR'!$F$6:$R$36,13,FALSE),"")</f>
        <v>25</v>
      </c>
      <c r="J115" s="135">
        <f>IFERROR(VLOOKUP(C115,'02_TCT GUADAMUR'!$F$6:$T$36,15,FALSE),"")</f>
        <v>10</v>
      </c>
      <c r="K115" s="138">
        <f t="shared" si="16"/>
        <v>35</v>
      </c>
      <c r="L115" s="135">
        <f>IFERROR(VLOOKUP(C115,'03_TCT MAQUEDA'!$F$6:$R$36,13,FALSE),"")</f>
        <v>15</v>
      </c>
      <c r="M115" s="135">
        <f>IFERROR(VLOOKUP(C115,'03_TCT MAQUEDA'!$F$6:$T$36,15,FALSE),"")</f>
        <v>8</v>
      </c>
      <c r="N115" s="138">
        <f>(L115+M115)</f>
        <v>23</v>
      </c>
      <c r="O115" s="135"/>
      <c r="P115" s="135"/>
      <c r="Q115" s="138"/>
      <c r="R115" s="135"/>
      <c r="S115" s="135"/>
      <c r="T115" s="138"/>
      <c r="U115" s="135"/>
      <c r="V115" s="135"/>
      <c r="W115" s="138"/>
      <c r="X115" s="139">
        <f t="shared" si="17"/>
        <v>114</v>
      </c>
      <c r="Y115" s="140" t="str">
        <f t="shared" ref="Y115:Y143" si="18">IF(Z115&gt;=3,"Sí","No")</f>
        <v>Sí</v>
      </c>
      <c r="Z115" s="141">
        <f t="shared" ref="Z115:Z143" si="19">COUNTA(H115,K115,N115,Q115,T115,W115)</f>
        <v>3</v>
      </c>
      <c r="AA115" s="148"/>
      <c r="AB115" s="262" t="str">
        <f>IFERROR(VLOOKUP(C115,Tabla15[[Piloto2]:[Puntos clase5]],4, FALSE), " ")</f>
        <v>2RM</v>
      </c>
    </row>
    <row r="116" spans="2:35" ht="12.75" customHeight="1" x14ac:dyDescent="0.3">
      <c r="B116" s="133">
        <v>3</v>
      </c>
      <c r="C116" s="142" t="s">
        <v>590</v>
      </c>
      <c r="D116" s="482">
        <v>3</v>
      </c>
      <c r="E116" s="483" t="str">
        <f>LEFT(AB116,LEN(AB116)-2)</f>
        <v>2</v>
      </c>
      <c r="F116" s="135">
        <f>IFERROR(VLOOKUP(C116,'01_RS ALCARRIA'!$F$6:$R$36,13,FALSE),"")</f>
        <v>15</v>
      </c>
      <c r="G116" s="135">
        <f>IFERROR(VLOOKUP(C116,'01_RS ALCARRIA'!$F$6:$T$36,15,FALSE),"")</f>
        <v>10</v>
      </c>
      <c r="H116" s="138">
        <f>(F116+G116)*2</f>
        <v>50</v>
      </c>
      <c r="I116" s="135">
        <f>IFERROR(VLOOKUP(C116,'02_TCT GUADAMUR'!$F$6:$R$36,13,FALSE),"")</f>
        <v>12</v>
      </c>
      <c r="J116" s="135">
        <f>IFERROR(VLOOKUP(C116,'02_TCT GUADAMUR'!$F$6:$T$36,15,FALSE),"")</f>
        <v>10</v>
      </c>
      <c r="K116" s="138">
        <f t="shared" si="16"/>
        <v>22</v>
      </c>
      <c r="L116" s="135">
        <f>IFERROR(VLOOKUP(C116,'03_TCT MAQUEDA'!$F$6:$R$36,13,FALSE),"")</f>
        <v>8</v>
      </c>
      <c r="M116" s="135">
        <f>IFERROR(VLOOKUP(C116,'03_TCT MAQUEDA'!$F$6:$T$36,15,FALSE),"")</f>
        <v>10</v>
      </c>
      <c r="N116" s="138">
        <f>(L116+M116)</f>
        <v>18</v>
      </c>
      <c r="O116" s="135"/>
      <c r="P116" s="135"/>
      <c r="Q116" s="138"/>
      <c r="R116" s="135"/>
      <c r="S116" s="135"/>
      <c r="T116" s="138"/>
      <c r="U116" s="135"/>
      <c r="V116" s="135"/>
      <c r="W116" s="138"/>
      <c r="X116" s="139">
        <f t="shared" si="17"/>
        <v>90</v>
      </c>
      <c r="Y116" s="140" t="str">
        <f t="shared" si="18"/>
        <v>Sí</v>
      </c>
      <c r="Z116" s="141">
        <f t="shared" si="19"/>
        <v>3</v>
      </c>
      <c r="AA116" s="148"/>
      <c r="AB116" s="262" t="str">
        <f>IFERROR(VLOOKUP(C116,Tabla15[[Piloto2]:[Puntos clase5]],4, FALSE), " ")</f>
        <v>2RM</v>
      </c>
    </row>
    <row r="117" spans="2:35" ht="12.75" customHeight="1" x14ac:dyDescent="0.3">
      <c r="B117" s="133">
        <v>4</v>
      </c>
      <c r="C117" s="134" t="s">
        <v>589</v>
      </c>
      <c r="D117" s="480">
        <v>1</v>
      </c>
      <c r="E117" s="482" t="str">
        <f>LEFT(AB117,LEN(AB117)-2)</f>
        <v>4</v>
      </c>
      <c r="F117" s="135">
        <f>IFERROR(VLOOKUP(C117,'01_RS ALCARRIA'!$F$6:$R$36,13,FALSE),"")</f>
        <v>17</v>
      </c>
      <c r="G117" s="284">
        <f>IFERROR(VLOOKUP(C117,'01_RS ALCARRIA'!$F$6:$T$36,15,FALSE),"")/2</f>
        <v>5</v>
      </c>
      <c r="H117" s="138">
        <f>(F117+G117)*2</f>
        <v>44</v>
      </c>
      <c r="I117" s="135">
        <f>IFERROR(VLOOKUP(C117,'02_TCT GUADAMUR'!$F$6:$R$36,13,FALSE),"")</f>
        <v>15</v>
      </c>
      <c r="J117" s="135">
        <f>IFERROR(VLOOKUP(C117,'02_TCT GUADAMUR'!$F$6:$T$36,15,FALSE),"")</f>
        <v>10</v>
      </c>
      <c r="K117" s="138">
        <f t="shared" si="16"/>
        <v>25</v>
      </c>
      <c r="L117" s="135">
        <v>0</v>
      </c>
      <c r="M117" s="135">
        <v>0</v>
      </c>
      <c r="N117" s="138">
        <f>(L117+M117)</f>
        <v>0</v>
      </c>
      <c r="O117" s="135"/>
      <c r="P117" s="135"/>
      <c r="Q117" s="138"/>
      <c r="R117" s="135"/>
      <c r="S117" s="135"/>
      <c r="T117" s="138"/>
      <c r="U117" s="135"/>
      <c r="V117" s="135"/>
      <c r="W117" s="138"/>
      <c r="X117" s="139">
        <f t="shared" si="17"/>
        <v>69</v>
      </c>
      <c r="Y117" s="140" t="str">
        <f t="shared" si="18"/>
        <v>Sí</v>
      </c>
      <c r="Z117" s="141">
        <f t="shared" si="19"/>
        <v>3</v>
      </c>
      <c r="AA117" s="148"/>
      <c r="AB117" s="262" t="str">
        <f>IFERROR(VLOOKUP(C117,Tabla15[[Piloto2]:[Puntos clase5]],4, FALSE), " ")</f>
        <v>4RM</v>
      </c>
    </row>
    <row r="118" spans="2:35" ht="12.75" customHeight="1" x14ac:dyDescent="0.3">
      <c r="B118" s="133">
        <v>5</v>
      </c>
      <c r="C118" s="142" t="s">
        <v>598</v>
      </c>
      <c r="D118" s="482">
        <v>5</v>
      </c>
      <c r="E118" s="482" t="str">
        <f>LEFT(AB118,LEN(AB118)-2)</f>
        <v>2</v>
      </c>
      <c r="F118" s="135">
        <f>IFERROR(VLOOKUP(C118,'01_RS ALCARRIA'!$F$6:$R$36,13,FALSE),"")</f>
        <v>6</v>
      </c>
      <c r="G118" s="135">
        <f>IFERROR(VLOOKUP(C118,'01_RS ALCARRIA'!$F$6:$T$36,15,FALSE),"")</f>
        <v>10</v>
      </c>
      <c r="H118" s="138">
        <f>(F118+G118)*2</f>
        <v>32</v>
      </c>
      <c r="I118" s="135">
        <f>IFERROR(VLOOKUP(C118,'02_TCT GUADAMUR'!$F$6:$R$36,13,FALSE),"")</f>
        <v>10</v>
      </c>
      <c r="J118" s="135">
        <f>IFERROR(VLOOKUP(C118,'02_TCT GUADAMUR'!$F$6:$T$36,15,FALSE),"")</f>
        <v>10</v>
      </c>
      <c r="K118" s="138">
        <f t="shared" si="16"/>
        <v>20</v>
      </c>
      <c r="L118" s="135"/>
      <c r="M118" s="135"/>
      <c r="N118" s="138"/>
      <c r="O118" s="135"/>
      <c r="P118" s="135"/>
      <c r="Q118" s="138"/>
      <c r="R118" s="135"/>
      <c r="S118" s="135"/>
      <c r="T118" s="138"/>
      <c r="U118" s="135"/>
      <c r="V118" s="135"/>
      <c r="W118" s="138"/>
      <c r="X118" s="139">
        <f t="shared" si="17"/>
        <v>52</v>
      </c>
      <c r="Y118" s="140" t="str">
        <f t="shared" si="18"/>
        <v>No</v>
      </c>
      <c r="Z118" s="141">
        <f t="shared" si="19"/>
        <v>2</v>
      </c>
      <c r="AA118" s="148"/>
      <c r="AB118" s="262" t="str">
        <f>IFERROR(VLOOKUP(C118,Tabla15[[Piloto2]:[Puntos clase5]],4, FALSE), " ")</f>
        <v>2RM</v>
      </c>
    </row>
    <row r="119" spans="2:35" ht="12.75" customHeight="1" x14ac:dyDescent="0.3">
      <c r="B119" s="133">
        <v>6</v>
      </c>
      <c r="C119" s="142" t="s">
        <v>669</v>
      </c>
      <c r="D119" s="482">
        <v>2</v>
      </c>
      <c r="E119" s="482">
        <v>2</v>
      </c>
      <c r="F119" s="135"/>
      <c r="G119" s="135"/>
      <c r="H119" s="138"/>
      <c r="I119" s="135">
        <f>IFERROR(VLOOKUP(C119,'02_TCT GUADAMUR'!$F$6:$R$36,13,FALSE),"")</f>
        <v>20</v>
      </c>
      <c r="J119" s="135">
        <f>IFERROR(VLOOKUP(C119,'02_TCT GUADAMUR'!$F$6:$T$36,15,FALSE),"")</f>
        <v>8</v>
      </c>
      <c r="K119" s="138">
        <f t="shared" si="16"/>
        <v>28</v>
      </c>
      <c r="L119" s="135">
        <f>IFERROR(VLOOKUP(C119,'03_TCT MAQUEDA'!$F$6:$R$36,13,FALSE),"")</f>
        <v>12</v>
      </c>
      <c r="M119" s="135">
        <f>IFERROR(VLOOKUP(C119,'03_TCT MAQUEDA'!$F$6:$T$36,15,FALSE),"")</f>
        <v>6</v>
      </c>
      <c r="N119" s="138">
        <f>(L119+M119)</f>
        <v>18</v>
      </c>
      <c r="O119" s="135"/>
      <c r="P119" s="135"/>
      <c r="Q119" s="138"/>
      <c r="R119" s="135"/>
      <c r="S119" s="135"/>
      <c r="T119" s="138"/>
      <c r="U119" s="135"/>
      <c r="V119" s="135"/>
      <c r="W119" s="138"/>
      <c r="X119" s="139">
        <f t="shared" si="17"/>
        <v>46</v>
      </c>
      <c r="Y119" s="140" t="str">
        <f t="shared" si="18"/>
        <v>No</v>
      </c>
      <c r="Z119" s="141">
        <f t="shared" si="19"/>
        <v>2</v>
      </c>
      <c r="AA119" s="148"/>
      <c r="AB119" s="262" t="str">
        <f>IFERROR(VLOOKUP(C119,Tabla15[[Piloto2]:[Puntos clase5]],4, FALSE), " ")</f>
        <v xml:space="preserve"> </v>
      </c>
    </row>
    <row r="120" spans="2:35" ht="12.75" customHeight="1" x14ac:dyDescent="0.3">
      <c r="B120" s="133">
        <v>7</v>
      </c>
      <c r="C120" s="142" t="s">
        <v>596</v>
      </c>
      <c r="D120" s="482">
        <v>3</v>
      </c>
      <c r="E120" s="482" t="str">
        <f>LEFT(AB120,LEN(AB120)-2)</f>
        <v>2</v>
      </c>
      <c r="F120" s="135">
        <f>IFERROR(VLOOKUP(C120,'01_RS ALCARRIA'!$F$6:$R$36,13,FALSE),"")</f>
        <v>8</v>
      </c>
      <c r="G120" s="135">
        <f>IFERROR(VLOOKUP(C120,'01_RS ALCARRIA'!$F$6:$T$36,15,FALSE),"")</f>
        <v>5</v>
      </c>
      <c r="H120" s="138">
        <f>(F120+G120)*2</f>
        <v>26</v>
      </c>
      <c r="I120" s="135">
        <f>IFERROR(VLOOKUP(C120,'02_TCT GUADAMUR'!$F$6:$R$36,13,FALSE),"")</f>
        <v>4</v>
      </c>
      <c r="J120" s="135">
        <f>IFERROR(VLOOKUP(C120,'02_TCT GUADAMUR'!$F$6:$T$36,15,FALSE),"")</f>
        <v>6</v>
      </c>
      <c r="K120" s="138">
        <f t="shared" si="16"/>
        <v>10</v>
      </c>
      <c r="L120" s="135">
        <f>IFERROR(VLOOKUP(C120,'03_TCT MAQUEDA'!$F$6:$R$36,13,FALSE),"")</f>
        <v>3</v>
      </c>
      <c r="M120" s="135">
        <f>IFERROR(VLOOKUP(C120,'03_TCT MAQUEDA'!$F$6:$T$36,15,FALSE),"")</f>
        <v>6</v>
      </c>
      <c r="N120" s="138">
        <f>(L120+M120)</f>
        <v>9</v>
      </c>
      <c r="O120" s="135"/>
      <c r="P120" s="135"/>
      <c r="Q120" s="138"/>
      <c r="R120" s="135"/>
      <c r="S120" s="135"/>
      <c r="T120" s="138"/>
      <c r="U120" s="135"/>
      <c r="V120" s="135"/>
      <c r="W120" s="138"/>
      <c r="X120" s="139">
        <f t="shared" si="17"/>
        <v>45</v>
      </c>
      <c r="Y120" s="140" t="str">
        <f t="shared" si="18"/>
        <v>Sí</v>
      </c>
      <c r="Z120" s="141">
        <f t="shared" si="19"/>
        <v>3</v>
      </c>
      <c r="AA120" s="148"/>
      <c r="AB120" s="262" t="str">
        <f>IFERROR(VLOOKUP(C120,Tabla15[[Piloto2]:[Puntos clase5]],4, FALSE), " ")</f>
        <v>2RM</v>
      </c>
    </row>
    <row r="121" spans="2:35" ht="12.75" customHeight="1" x14ac:dyDescent="0.3">
      <c r="B121" s="133">
        <v>8</v>
      </c>
      <c r="C121" s="142" t="s">
        <v>457</v>
      </c>
      <c r="D121" s="482">
        <v>3</v>
      </c>
      <c r="E121" s="482" t="str">
        <f>LEFT(AB121,LEN(AB121)-2)</f>
        <v>2</v>
      </c>
      <c r="F121" s="135">
        <f>IFERROR(VLOOKUP(C121,'01_RS ALCARRIA'!$F$6:$R$36,13,FALSE),"")</f>
        <v>12</v>
      </c>
      <c r="G121" s="135">
        <f>IFERROR(VLOOKUP(C121,'01_RS ALCARRIA'!$F$6:$T$36,15,FALSE),"")</f>
        <v>8</v>
      </c>
      <c r="H121" s="138">
        <f>(F121+G121)*2</f>
        <v>40</v>
      </c>
      <c r="I121" s="135">
        <v>0</v>
      </c>
      <c r="J121" s="135">
        <v>0</v>
      </c>
      <c r="K121" s="138">
        <f t="shared" si="16"/>
        <v>0</v>
      </c>
      <c r="L121" s="135"/>
      <c r="M121" s="135"/>
      <c r="N121" s="138"/>
      <c r="O121" s="135"/>
      <c r="P121" s="135"/>
      <c r="Q121" s="138"/>
      <c r="R121" s="135"/>
      <c r="S121" s="135"/>
      <c r="T121" s="138"/>
      <c r="U121" s="135"/>
      <c r="V121" s="135"/>
      <c r="W121" s="138"/>
      <c r="X121" s="139">
        <f t="shared" si="17"/>
        <v>40</v>
      </c>
      <c r="Y121" s="140" t="str">
        <f t="shared" si="18"/>
        <v>No</v>
      </c>
      <c r="Z121" s="141">
        <f t="shared" si="19"/>
        <v>2</v>
      </c>
      <c r="AA121" s="148"/>
      <c r="AB121" s="262" t="str">
        <f>IFERROR(VLOOKUP(C121,Tabla15[[Piloto2]:[Puntos clase5]],4, FALSE), " ")</f>
        <v>2RM</v>
      </c>
    </row>
    <row r="122" spans="2:35" ht="12.75" customHeight="1" x14ac:dyDescent="0.3">
      <c r="B122" s="133">
        <v>9</v>
      </c>
      <c r="C122" s="142" t="s">
        <v>696</v>
      </c>
      <c r="D122" s="482">
        <v>1</v>
      </c>
      <c r="E122" s="482">
        <v>4</v>
      </c>
      <c r="F122" s="135"/>
      <c r="G122" s="135"/>
      <c r="H122" s="138"/>
      <c r="I122" s="135"/>
      <c r="J122" s="135"/>
      <c r="K122" s="138"/>
      <c r="L122" s="135">
        <f>IFERROR(VLOOKUP(C122,'03_TCT MAQUEDA'!$F$6:$R$36,13,FALSE),"")</f>
        <v>25</v>
      </c>
      <c r="M122" s="135">
        <f>IFERROR(VLOOKUP(C122,'03_TCT MAQUEDA'!$F$6:$T$36,15,FALSE),"")</f>
        <v>10</v>
      </c>
      <c r="N122" s="138">
        <f>(L122+M122)</f>
        <v>35</v>
      </c>
      <c r="O122" s="135"/>
      <c r="P122" s="135"/>
      <c r="Q122" s="138"/>
      <c r="R122" s="135"/>
      <c r="S122" s="135"/>
      <c r="T122" s="138"/>
      <c r="U122" s="135"/>
      <c r="V122" s="135"/>
      <c r="W122" s="138"/>
      <c r="X122" s="139">
        <f t="shared" si="17"/>
        <v>35</v>
      </c>
      <c r="Y122" s="140" t="str">
        <f t="shared" si="18"/>
        <v>No</v>
      </c>
      <c r="Z122" s="141">
        <f t="shared" si="19"/>
        <v>1</v>
      </c>
      <c r="AA122" s="148"/>
      <c r="AB122" s="262" t="str">
        <f>IFERROR(VLOOKUP(C122,Tabla15[[Piloto2]:[Puntos clase5]],4, FALSE), " ")</f>
        <v xml:space="preserve"> </v>
      </c>
    </row>
    <row r="123" spans="2:35" ht="12.75" customHeight="1" x14ac:dyDescent="0.3">
      <c r="B123" s="133">
        <v>10</v>
      </c>
      <c r="C123" s="142" t="s">
        <v>594</v>
      </c>
      <c r="D123" s="482">
        <v>3</v>
      </c>
      <c r="E123" s="482" t="str">
        <f>LEFT(AB123,LEN(AB123)-2)</f>
        <v>2</v>
      </c>
      <c r="F123" s="135">
        <f>IFERROR(VLOOKUP(C123,'01_RS ALCARRIA'!$F$6:$R$36,13,FALSE),"")</f>
        <v>10</v>
      </c>
      <c r="G123" s="135">
        <f>IFERROR(VLOOKUP(C123,'01_RS ALCARRIA'!$F$6:$T$36,15,FALSE),"")</f>
        <v>6</v>
      </c>
      <c r="H123" s="138">
        <f>(F123+G123)*2</f>
        <v>32</v>
      </c>
      <c r="I123" s="135"/>
      <c r="J123" s="135"/>
      <c r="K123" s="138"/>
      <c r="L123" s="135"/>
      <c r="M123" s="135"/>
      <c r="N123" s="138"/>
      <c r="O123" s="135"/>
      <c r="P123" s="135"/>
      <c r="Q123" s="138"/>
      <c r="R123" s="135"/>
      <c r="S123" s="135"/>
      <c r="T123" s="138"/>
      <c r="U123" s="135"/>
      <c r="V123" s="135"/>
      <c r="W123" s="138"/>
      <c r="X123" s="139">
        <f t="shared" si="17"/>
        <v>32</v>
      </c>
      <c r="Y123" s="140" t="str">
        <f t="shared" si="18"/>
        <v>No</v>
      </c>
      <c r="Z123" s="141">
        <f t="shared" si="19"/>
        <v>1</v>
      </c>
      <c r="AA123" s="148"/>
      <c r="AB123" s="262" t="str">
        <f>IFERROR(VLOOKUP(C123,Tabla15[[Piloto2]:[Puntos clase5]],4, FALSE), " ")</f>
        <v>2RM</v>
      </c>
    </row>
    <row r="124" spans="2:35" ht="12.75" customHeight="1" x14ac:dyDescent="0.3">
      <c r="B124" s="133">
        <v>11</v>
      </c>
      <c r="C124" s="142" t="s">
        <v>293</v>
      </c>
      <c r="D124" s="482">
        <v>1</v>
      </c>
      <c r="E124" s="482">
        <v>4</v>
      </c>
      <c r="F124" s="135"/>
      <c r="G124" s="135"/>
      <c r="H124" s="138"/>
      <c r="I124" s="135"/>
      <c r="J124" s="135"/>
      <c r="K124" s="138"/>
      <c r="L124" s="135">
        <f>IFERROR(VLOOKUP(C124,'03_TCT MAQUEDA'!$F$6:$R$36,13,FALSE),"")</f>
        <v>20</v>
      </c>
      <c r="M124" s="135">
        <f>IFERROR(VLOOKUP(C124,'03_TCT MAQUEDA'!$F$6:$T$36,15,FALSE),"")</f>
        <v>8</v>
      </c>
      <c r="N124" s="138">
        <f>(L124+M124)</f>
        <v>28</v>
      </c>
      <c r="O124" s="135"/>
      <c r="P124" s="135"/>
      <c r="Q124" s="138"/>
      <c r="R124" s="135"/>
      <c r="S124" s="135"/>
      <c r="T124" s="138"/>
      <c r="U124" s="135"/>
      <c r="V124" s="135"/>
      <c r="W124" s="138"/>
      <c r="X124" s="139">
        <f t="shared" si="17"/>
        <v>28</v>
      </c>
      <c r="Y124" s="140" t="str">
        <f t="shared" si="18"/>
        <v>No</v>
      </c>
      <c r="Z124" s="141">
        <f t="shared" si="19"/>
        <v>1</v>
      </c>
      <c r="AA124" s="148"/>
      <c r="AB124" s="262" t="str">
        <f>IFERROR(VLOOKUP(C124,Tabla15[[Piloto2]:[Puntos clase5]],4, FALSE), " ")</f>
        <v xml:space="preserve"> </v>
      </c>
      <c r="AC124" s="232" t="s">
        <v>271</v>
      </c>
      <c r="AD124" s="229"/>
      <c r="AE124" s="229"/>
      <c r="AF124" s="229"/>
      <c r="AG124" s="229"/>
      <c r="AH124" s="229"/>
      <c r="AI124" s="230"/>
    </row>
    <row r="125" spans="2:35" ht="12.75" customHeight="1" x14ac:dyDescent="0.3">
      <c r="B125" s="133">
        <v>12</v>
      </c>
      <c r="C125" s="142" t="s">
        <v>611</v>
      </c>
      <c r="D125" s="482">
        <v>3</v>
      </c>
      <c r="E125" s="482" t="str">
        <f>LEFT(AB125,LEN(AB125)-2)</f>
        <v>2</v>
      </c>
      <c r="F125" s="135">
        <f>IFERROR(VLOOKUP(C125,'01_RS ALCARRIA'!$F$6:$R$36,13,FALSE),"")</f>
        <v>2</v>
      </c>
      <c r="G125" s="135">
        <f>IFERROR(VLOOKUP(C125,'01_RS ALCARRIA'!$F$6:$T$36,15,FALSE),"")</f>
        <v>0</v>
      </c>
      <c r="H125" s="138">
        <f>(F125+G125)*2</f>
        <v>4</v>
      </c>
      <c r="I125" s="135">
        <f>IFERROR(VLOOKUP(C125,'02_TCT GUADAMUR'!$F$6:$R$36,13,FALSE),"")</f>
        <v>1</v>
      </c>
      <c r="J125" s="135">
        <f>IFERROR(VLOOKUP(C125,'02_TCT GUADAMUR'!$F$6:$T$36,15,FALSE),"")</f>
        <v>3</v>
      </c>
      <c r="K125" s="138">
        <f t="shared" ref="K125:K133" si="20">(I125+J125)</f>
        <v>4</v>
      </c>
      <c r="L125" s="135">
        <f>IFERROR(VLOOKUP(C125,'03_TCT MAQUEDA'!$F$6:$R$36,13,FALSE),"")</f>
        <v>5</v>
      </c>
      <c r="M125" s="135">
        <f>IFERROR(VLOOKUP(C125,'03_TCT MAQUEDA'!$F$6:$T$36,15,FALSE),"")</f>
        <v>8</v>
      </c>
      <c r="N125" s="138">
        <f>(L125+M125)</f>
        <v>13</v>
      </c>
      <c r="O125" s="135"/>
      <c r="P125" s="135"/>
      <c r="Q125" s="138"/>
      <c r="R125" s="135"/>
      <c r="S125" s="135"/>
      <c r="T125" s="138"/>
      <c r="U125" s="135"/>
      <c r="V125" s="135"/>
      <c r="W125" s="138"/>
      <c r="X125" s="139">
        <f t="shared" si="17"/>
        <v>21</v>
      </c>
      <c r="Y125" s="140" t="str">
        <f t="shared" si="18"/>
        <v>Sí</v>
      </c>
      <c r="Z125" s="141">
        <f t="shared" si="19"/>
        <v>3</v>
      </c>
      <c r="AA125" s="148"/>
      <c r="AB125" s="262" t="str">
        <f>IFERROR(VLOOKUP(C125,Tabla15[[Piloto2]:[Puntos clase5]],4, FALSE), " ")</f>
        <v>2RM</v>
      </c>
      <c r="AC125" s="8" t="s">
        <v>272</v>
      </c>
      <c r="AD125" s="8">
        <v>1</v>
      </c>
      <c r="AE125" s="8">
        <v>2</v>
      </c>
      <c r="AF125" s="8">
        <v>3</v>
      </c>
      <c r="AG125" s="8">
        <v>4</v>
      </c>
      <c r="AH125" s="8">
        <v>5</v>
      </c>
      <c r="AI125" s="8" t="s">
        <v>9</v>
      </c>
    </row>
    <row r="126" spans="2:35" ht="12.75" customHeight="1" x14ac:dyDescent="0.3">
      <c r="B126" s="133">
        <v>12</v>
      </c>
      <c r="C126" s="142" t="s">
        <v>631</v>
      </c>
      <c r="D126" s="482">
        <v>5</v>
      </c>
      <c r="E126" s="482" t="str">
        <f>LEFT(AB126,LEN(AB126)-2)</f>
        <v>2</v>
      </c>
      <c r="F126" s="135">
        <v>0</v>
      </c>
      <c r="G126" s="135">
        <v>0</v>
      </c>
      <c r="H126" s="138">
        <f>(F126+G126)*2</f>
        <v>0</v>
      </c>
      <c r="I126" s="135">
        <f>IFERROR(VLOOKUP(C126,'02_TCT GUADAMUR'!$F$6:$R$36,13,FALSE),"")</f>
        <v>0</v>
      </c>
      <c r="J126" s="135">
        <f>IFERROR(VLOOKUP(C126,'02_TCT GUADAMUR'!$F$6:$T$36,15,FALSE),"")</f>
        <v>6</v>
      </c>
      <c r="K126" s="138">
        <f t="shared" si="20"/>
        <v>6</v>
      </c>
      <c r="L126" s="135">
        <f>IFERROR(VLOOKUP(C126,'03_TCT MAQUEDA'!$F$6:$R$36,13,FALSE),"")</f>
        <v>10</v>
      </c>
      <c r="M126" s="284">
        <f>IFERROR(VLOOKUP(C126,'03_TCT MAQUEDA'!$F$6:$T$36,15,FALSE),"")/2</f>
        <v>5</v>
      </c>
      <c r="N126" s="138">
        <f>(L126+M126)</f>
        <v>15</v>
      </c>
      <c r="O126" s="135"/>
      <c r="P126" s="135"/>
      <c r="Q126" s="138"/>
      <c r="R126" s="135"/>
      <c r="S126" s="135"/>
      <c r="T126" s="138"/>
      <c r="U126" s="135"/>
      <c r="V126" s="135"/>
      <c r="W126" s="138"/>
      <c r="X126" s="139">
        <f t="shared" si="17"/>
        <v>21</v>
      </c>
      <c r="Y126" s="140" t="str">
        <f t="shared" si="18"/>
        <v>Sí</v>
      </c>
      <c r="Z126" s="141">
        <f t="shared" si="19"/>
        <v>3</v>
      </c>
      <c r="AA126" s="148"/>
      <c r="AB126" s="262" t="str">
        <f>IFERROR(VLOOKUP(C126,Tabla15[[Piloto2]:[Puntos clase5]],4, FALSE), " ")</f>
        <v>2RM</v>
      </c>
      <c r="AC126" s="8">
        <f>COUNTA(C6:C25)</f>
        <v>20</v>
      </c>
      <c r="AD126" s="8">
        <f>COUNTIF($D$6:$D$25,AD125)</f>
        <v>4</v>
      </c>
      <c r="AE126" s="8">
        <f>COUNTIF($D$6:$D$25,AE125)</f>
        <v>4</v>
      </c>
      <c r="AF126" s="8">
        <f>COUNTIF($D$6:$D$25,AF125)</f>
        <v>6</v>
      </c>
      <c r="AG126" s="8">
        <f>COUNTIF($D$6:$D$25,AG125)</f>
        <v>4</v>
      </c>
      <c r="AH126" s="8">
        <f>COUNTIF($D$6:$D$25,AH125)</f>
        <v>2</v>
      </c>
      <c r="AI126" s="231">
        <f>SUM(AD126:AH126)</f>
        <v>20</v>
      </c>
    </row>
    <row r="127" spans="2:35" ht="12.75" customHeight="1" x14ac:dyDescent="0.3">
      <c r="B127" s="133">
        <v>12</v>
      </c>
      <c r="C127" s="134" t="s">
        <v>638</v>
      </c>
      <c r="D127" s="482" t="s">
        <v>359</v>
      </c>
      <c r="E127" s="482" t="str">
        <f>LEFT(AB127,LEN(AB127)-2)</f>
        <v>2</v>
      </c>
      <c r="F127" s="135">
        <v>0</v>
      </c>
      <c r="G127" s="135">
        <v>0</v>
      </c>
      <c r="H127" s="138">
        <f>(F127+G127)*2</f>
        <v>0</v>
      </c>
      <c r="I127" s="135">
        <f>IFERROR(VLOOKUP(C127,'02_TCT GUADAMUR'!$F$6:$R$36,13,FALSE),"")</f>
        <v>0</v>
      </c>
      <c r="J127" s="135">
        <f>IFERROR(VLOOKUP(C127,'02_TCT GUADAMUR'!$F$6:$T$36,15,FALSE),"")</f>
        <v>5</v>
      </c>
      <c r="K127" s="138">
        <f t="shared" si="20"/>
        <v>5</v>
      </c>
      <c r="L127" s="135">
        <f>IFERROR(VLOOKUP(C127,'03_TCT MAQUEDA'!$F$6:$R$36,13,FALSE),"")</f>
        <v>6</v>
      </c>
      <c r="M127" s="135">
        <f>IFERROR(VLOOKUP(C127,'03_TCT MAQUEDA'!$F$6:$T$36,15,FALSE),"")</f>
        <v>10</v>
      </c>
      <c r="N127" s="138">
        <f>(L127+M127)</f>
        <v>16</v>
      </c>
      <c r="O127" s="135"/>
      <c r="P127" s="135"/>
      <c r="Q127" s="138"/>
      <c r="R127" s="135"/>
      <c r="S127" s="135"/>
      <c r="T127" s="138"/>
      <c r="U127" s="135"/>
      <c r="V127" s="135"/>
      <c r="W127" s="138"/>
      <c r="X127" s="139">
        <f t="shared" si="17"/>
        <v>21</v>
      </c>
      <c r="Y127" s="140" t="str">
        <f t="shared" si="18"/>
        <v>Sí</v>
      </c>
      <c r="Z127" s="141">
        <f t="shared" si="19"/>
        <v>3</v>
      </c>
      <c r="AA127" s="148"/>
      <c r="AB127" s="262" t="str">
        <f>IFERROR(VLOOKUP(C127,Tabla15[[Piloto2]:[Puntos clase5]],4, FALSE), " ")</f>
        <v>2RM</v>
      </c>
    </row>
    <row r="128" spans="2:35" ht="12.75" customHeight="1" x14ac:dyDescent="0.3">
      <c r="B128" s="133">
        <v>15</v>
      </c>
      <c r="C128" s="134" t="s">
        <v>625</v>
      </c>
      <c r="D128" s="482">
        <v>4</v>
      </c>
      <c r="E128" s="482" t="str">
        <f>LEFT(AB128,LEN(AB128)-2)</f>
        <v>2</v>
      </c>
      <c r="F128" s="135">
        <f>IFERROR(VLOOKUP(C128,'01_RS ALCARRIA'!$F$6:$R$36,13,FALSE),"")</f>
        <v>0</v>
      </c>
      <c r="G128" s="284">
        <f>IFERROR(VLOOKUP(C128,'01_RS ALCARRIA'!$F$6:$T$36,15,FALSE),"")/2</f>
        <v>5</v>
      </c>
      <c r="H128" s="138">
        <f>(F128+G128)*2</f>
        <v>10</v>
      </c>
      <c r="I128" s="135">
        <f>IFERROR(VLOOKUP(C128,'02_TCT GUADAMUR'!$F$6:$R$36,13,FALSE),"")</f>
        <v>2</v>
      </c>
      <c r="J128" s="135">
        <f>IFERROR(VLOOKUP(C128,'02_TCT GUADAMUR'!$F$6:$T$36,15,FALSE),"")</f>
        <v>8</v>
      </c>
      <c r="K128" s="138">
        <f t="shared" si="20"/>
        <v>10</v>
      </c>
      <c r="L128" s="135"/>
      <c r="M128" s="135"/>
      <c r="N128" s="138"/>
      <c r="O128" s="135"/>
      <c r="P128" s="135"/>
      <c r="Q128" s="138"/>
      <c r="R128" s="135"/>
      <c r="S128" s="135"/>
      <c r="T128" s="138"/>
      <c r="U128" s="135"/>
      <c r="V128" s="135"/>
      <c r="W128" s="138"/>
      <c r="X128" s="139">
        <f t="shared" si="17"/>
        <v>20</v>
      </c>
      <c r="Y128" s="140" t="str">
        <f t="shared" si="18"/>
        <v>No</v>
      </c>
      <c r="Z128" s="141">
        <f t="shared" si="19"/>
        <v>2</v>
      </c>
      <c r="AA128" s="7"/>
      <c r="AB128" s="262" t="str">
        <f>IFERROR(VLOOKUP(C128,Tabla15[[Piloto2]:[Puntos clase5]],4, FALSE), " ")</f>
        <v>2RM</v>
      </c>
      <c r="AC128" s="6"/>
    </row>
    <row r="129" spans="2:39" ht="12.75" customHeight="1" x14ac:dyDescent="0.3">
      <c r="B129" s="133">
        <v>16</v>
      </c>
      <c r="C129" s="142" t="s">
        <v>670</v>
      </c>
      <c r="D129" s="482">
        <v>4</v>
      </c>
      <c r="E129" s="482">
        <v>2</v>
      </c>
      <c r="F129" s="135"/>
      <c r="G129" s="135"/>
      <c r="H129" s="138"/>
      <c r="I129" s="135">
        <f>IFERROR(VLOOKUP(C129,'02_TCT GUADAMUR'!$F$6:$R$36,13,FALSE),"")</f>
        <v>8</v>
      </c>
      <c r="J129" s="135">
        <f>IFERROR(VLOOKUP(C129,'02_TCT GUADAMUR'!$F$6:$T$36,15,FALSE),"")</f>
        <v>10</v>
      </c>
      <c r="K129" s="138">
        <f t="shared" si="20"/>
        <v>18</v>
      </c>
      <c r="L129" s="135"/>
      <c r="M129" s="135"/>
      <c r="N129" s="138"/>
      <c r="O129" s="135"/>
      <c r="P129" s="135"/>
      <c r="Q129" s="138"/>
      <c r="R129" s="135"/>
      <c r="S129" s="135"/>
      <c r="T129" s="138"/>
      <c r="U129" s="135"/>
      <c r="V129" s="135"/>
      <c r="W129" s="138"/>
      <c r="X129" s="139">
        <f t="shared" si="17"/>
        <v>18</v>
      </c>
      <c r="Y129" s="140" t="str">
        <f t="shared" si="18"/>
        <v>No</v>
      </c>
      <c r="Z129" s="141">
        <f t="shared" si="19"/>
        <v>1</v>
      </c>
      <c r="AB129" s="262" t="str">
        <f>IFERROR(VLOOKUP(C129,Tabla15[[Piloto2]:[Puntos clase5]],4, FALSE), " ")</f>
        <v xml:space="preserve"> </v>
      </c>
      <c r="AC129" s="2"/>
    </row>
    <row r="130" spans="2:39" ht="12.75" customHeight="1" x14ac:dyDescent="0.3">
      <c r="B130" s="133">
        <v>17</v>
      </c>
      <c r="C130" s="142" t="s">
        <v>605</v>
      </c>
      <c r="D130" s="482">
        <v>3</v>
      </c>
      <c r="E130" s="482" t="str">
        <f>LEFT(AB130,LEN(AB130)-2)</f>
        <v>2</v>
      </c>
      <c r="F130" s="135">
        <f>IFERROR(VLOOKUP(C130,'01_RS ALCARRIA'!$F$6:$R$36,13,FALSE),"")</f>
        <v>5</v>
      </c>
      <c r="G130" s="135">
        <f>IFERROR(VLOOKUP(C130,'01_RS ALCARRIA'!$F$6:$T$36,15,FALSE),"")</f>
        <v>3</v>
      </c>
      <c r="H130" s="138">
        <f>(F130+G130)*2</f>
        <v>16</v>
      </c>
      <c r="I130" s="135">
        <f>IFERROR(VLOOKUP(C130,'02_TCT GUADAMUR'!$F$6:$R$36,13,FALSE),"")</f>
        <v>0</v>
      </c>
      <c r="J130" s="135">
        <f>IFERROR(VLOOKUP(C130,'02_TCT GUADAMUR'!$F$6:$T$36,15,FALSE),"")</f>
        <v>1</v>
      </c>
      <c r="K130" s="138">
        <f t="shared" si="20"/>
        <v>1</v>
      </c>
      <c r="L130" s="135">
        <v>0</v>
      </c>
      <c r="M130" s="135">
        <v>0</v>
      </c>
      <c r="N130" s="138">
        <f>(L130+M130)</f>
        <v>0</v>
      </c>
      <c r="O130" s="135"/>
      <c r="P130" s="135"/>
      <c r="Q130" s="138"/>
      <c r="R130" s="135"/>
      <c r="S130" s="135"/>
      <c r="T130" s="138"/>
      <c r="U130" s="135"/>
      <c r="V130" s="135"/>
      <c r="W130" s="138"/>
      <c r="X130" s="139">
        <f t="shared" si="17"/>
        <v>17</v>
      </c>
      <c r="Y130" s="140" t="str">
        <f t="shared" si="18"/>
        <v>Sí</v>
      </c>
      <c r="Z130" s="141">
        <f t="shared" si="19"/>
        <v>3</v>
      </c>
      <c r="AA130" s="121"/>
      <c r="AB130" s="262" t="str">
        <f>IFERROR(VLOOKUP(C130,Tabla15[[Piloto2]:[Puntos clase5]],4, FALSE), " ")</f>
        <v>2RM</v>
      </c>
      <c r="AC130" s="8" t="s">
        <v>8</v>
      </c>
      <c r="AD130" s="8">
        <v>1</v>
      </c>
      <c r="AE130" s="8">
        <v>2</v>
      </c>
      <c r="AF130" s="8">
        <v>3</v>
      </c>
      <c r="AG130" s="8">
        <v>4</v>
      </c>
      <c r="AH130" s="8">
        <v>5</v>
      </c>
      <c r="AI130" s="8"/>
      <c r="AJ130" s="8"/>
      <c r="AK130" s="8"/>
      <c r="AL130" s="8"/>
      <c r="AM130" s="8" t="s">
        <v>9</v>
      </c>
    </row>
    <row r="131" spans="2:39" ht="12.75" customHeight="1" x14ac:dyDescent="0.3">
      <c r="B131" s="133">
        <v>18</v>
      </c>
      <c r="C131" s="142" t="s">
        <v>672</v>
      </c>
      <c r="D131" s="482">
        <v>3</v>
      </c>
      <c r="E131" s="482">
        <v>2</v>
      </c>
      <c r="F131" s="135"/>
      <c r="G131" s="135"/>
      <c r="H131" s="138"/>
      <c r="I131" s="135">
        <f>IFERROR(VLOOKUP(C131,'02_TCT GUADAMUR'!$F$6:$R$36,13,FALSE),"")</f>
        <v>6</v>
      </c>
      <c r="J131" s="135">
        <f>IFERROR(VLOOKUP(C131,'02_TCT GUADAMUR'!$F$6:$T$36,15,FALSE),"")</f>
        <v>8</v>
      </c>
      <c r="K131" s="138">
        <f t="shared" si="20"/>
        <v>14</v>
      </c>
      <c r="L131" s="135">
        <v>0</v>
      </c>
      <c r="M131" s="135">
        <v>0</v>
      </c>
      <c r="N131" s="138">
        <f>(L131+M131)</f>
        <v>0</v>
      </c>
      <c r="O131" s="135"/>
      <c r="P131" s="135"/>
      <c r="Q131" s="138"/>
      <c r="R131" s="135"/>
      <c r="S131" s="135"/>
      <c r="T131" s="138"/>
      <c r="U131" s="135"/>
      <c r="V131" s="135"/>
      <c r="W131" s="138"/>
      <c r="X131" s="139">
        <f t="shared" si="17"/>
        <v>14</v>
      </c>
      <c r="Y131" s="140" t="str">
        <f t="shared" si="18"/>
        <v>No</v>
      </c>
      <c r="Z131" s="141">
        <f t="shared" si="19"/>
        <v>2</v>
      </c>
      <c r="AA131" s="5"/>
      <c r="AB131" s="262" t="str">
        <f>IFERROR(VLOOKUP(C131,Tabla15[[Piloto2]:[Puntos clase5]],4, FALSE), " ")</f>
        <v xml:space="preserve"> </v>
      </c>
      <c r="AC131" s="8">
        <f>COUNTA(C6:C25)+COUNTA(Z247:Z249)+COUNTA(Z272:Z273)+COUNTA(Z301:Z302)</f>
        <v>27</v>
      </c>
      <c r="AD131" s="8">
        <f>COUNTIF($Z$6:$Z$25,AD130)+COUNTIF($Z$247:$Z$249,AD130)+COUNTIF($Z$272:$Z$273,AD130)+COUNTIF($Z$301:$Z$302,AD130)</f>
        <v>6</v>
      </c>
      <c r="AE131" s="8">
        <f>COUNTIF($Z$6:$Z$25,AE130)+COUNTIF($Z$247:$Z$249,AE130)+COUNTIF($Z$272:$Z$273,AE130)+COUNTIF($Z$301:$Z$302,AE130)</f>
        <v>8</v>
      </c>
      <c r="AF131" s="8">
        <f>COUNTIF($Z$6:$Z$25,AF130)+COUNTIF($Z$247:$Z$249,AF130)+COUNTIF($Z$272:$Z$273,AF130)+COUNTIF($Z$301:$Z$302,AF130)</f>
        <v>13</v>
      </c>
      <c r="AG131" s="8">
        <f>COUNTIF($Z$6:$Z$25,AG130)+COUNTIF($Z$247:$Z$249,AG130)+COUNTIF($Z$272:$Z$273,AG130)+COUNTIF($Z$301:$Z$302,AG130)</f>
        <v>0</v>
      </c>
      <c r="AH131" s="8">
        <f>COUNTIF($Z$6:$Z$25,AH130)+COUNTIF($Z$247:$Z$249,AH130)+COUNTIF($Z$272:$Z$273,AH130)+COUNTIF($Z$301:$Z$302,AH130)</f>
        <v>0</v>
      </c>
      <c r="AI131" s="8"/>
      <c r="AJ131" s="8"/>
      <c r="AK131" s="8"/>
      <c r="AL131" s="9"/>
      <c r="AM131" s="8">
        <f>SUM(AD131:AJ131)</f>
        <v>27</v>
      </c>
    </row>
    <row r="132" spans="2:39" ht="12.75" customHeight="1" x14ac:dyDescent="0.3">
      <c r="B132" s="133">
        <v>18</v>
      </c>
      <c r="C132" s="142" t="s">
        <v>677</v>
      </c>
      <c r="D132" s="482">
        <v>4</v>
      </c>
      <c r="E132" s="482">
        <v>2</v>
      </c>
      <c r="F132" s="135"/>
      <c r="G132" s="135"/>
      <c r="H132" s="138"/>
      <c r="I132" s="135">
        <f>IFERROR(VLOOKUP(C132,'02_TCT GUADAMUR'!$F$6:$R$36,13,FALSE),"")</f>
        <v>0</v>
      </c>
      <c r="J132" s="135">
        <f>IFERROR(VLOOKUP(C132,'02_TCT GUADAMUR'!$F$6:$T$36,15,FALSE),"")</f>
        <v>6</v>
      </c>
      <c r="K132" s="138">
        <f t="shared" si="20"/>
        <v>6</v>
      </c>
      <c r="L132" s="135">
        <f>IFERROR(VLOOKUP(C132,'03_TCT MAQUEDA'!$F$6:$R$36,13,FALSE),"")</f>
        <v>0</v>
      </c>
      <c r="M132" s="135">
        <f>IFERROR(VLOOKUP(C132,'03_TCT MAQUEDA'!$F$6:$T$36,15,FALSE),"")</f>
        <v>8</v>
      </c>
      <c r="N132" s="138">
        <f>(L132+M132)</f>
        <v>8</v>
      </c>
      <c r="O132" s="135"/>
      <c r="P132" s="135"/>
      <c r="Q132" s="138"/>
      <c r="R132" s="135"/>
      <c r="S132" s="135"/>
      <c r="T132" s="138"/>
      <c r="U132" s="135"/>
      <c r="V132" s="135"/>
      <c r="W132" s="138"/>
      <c r="X132" s="139">
        <f t="shared" si="17"/>
        <v>14</v>
      </c>
      <c r="Y132" s="140" t="str">
        <f t="shared" si="18"/>
        <v>No</v>
      </c>
      <c r="Z132" s="141">
        <f t="shared" si="19"/>
        <v>2</v>
      </c>
      <c r="AA132" s="5"/>
      <c r="AB132" s="262" t="str">
        <f>IFERROR(VLOOKUP(C132,Tabla15[[Piloto2]:[Puntos clase5]],4, FALSE), " ")</f>
        <v xml:space="preserve"> </v>
      </c>
      <c r="AC132" s="31"/>
      <c r="AD132" s="32"/>
      <c r="AE132" s="32"/>
      <c r="AF132" s="32"/>
      <c r="AG132" s="32"/>
      <c r="AH132" s="32"/>
      <c r="AI132" s="32"/>
      <c r="AJ132" s="528" t="s">
        <v>32</v>
      </c>
      <c r="AK132" s="529"/>
      <c r="AL132" s="530"/>
      <c r="AM132" s="33" t="e">
        <f>#REF!/AM131</f>
        <v>#REF!</v>
      </c>
    </row>
    <row r="133" spans="2:39" ht="12.75" customHeight="1" x14ac:dyDescent="0.3">
      <c r="B133" s="133">
        <v>20</v>
      </c>
      <c r="C133" s="142" t="s">
        <v>627</v>
      </c>
      <c r="D133" s="482">
        <v>5</v>
      </c>
      <c r="E133" s="482" t="str">
        <f>LEFT(AB133,LEN(AB133)-2)</f>
        <v>4</v>
      </c>
      <c r="F133" s="135">
        <v>0</v>
      </c>
      <c r="G133" s="135">
        <v>0</v>
      </c>
      <c r="H133" s="138">
        <f>(F133+G133)*2</f>
        <v>0</v>
      </c>
      <c r="I133" s="135">
        <f>IFERROR(VLOOKUP(C133,'02_TCT GUADAMUR'!$F$6:$R$36,13,FALSE),"")</f>
        <v>5</v>
      </c>
      <c r="J133" s="135">
        <f>IFERROR(VLOOKUP(C133,'02_TCT GUADAMUR'!$F$6:$T$36,15,FALSE),"")</f>
        <v>8</v>
      </c>
      <c r="K133" s="138">
        <f t="shared" si="20"/>
        <v>13</v>
      </c>
      <c r="L133" s="135"/>
      <c r="M133" s="135"/>
      <c r="N133" s="138"/>
      <c r="O133" s="135"/>
      <c r="P133" s="135"/>
      <c r="Q133" s="138"/>
      <c r="R133" s="135"/>
      <c r="S133" s="135"/>
      <c r="T133" s="138"/>
      <c r="U133" s="135"/>
      <c r="V133" s="135"/>
      <c r="W133" s="138"/>
      <c r="X133" s="139">
        <f t="shared" si="17"/>
        <v>13</v>
      </c>
      <c r="Y133" s="140" t="str">
        <f t="shared" si="18"/>
        <v>No</v>
      </c>
      <c r="Z133" s="141">
        <f t="shared" si="19"/>
        <v>2</v>
      </c>
      <c r="AA133" s="148"/>
      <c r="AB133" s="262" t="str">
        <f>IFERROR(VLOOKUP(C133,Tabla15[[Piloto2]:[Puntos clase5]],4, FALSE), " ")</f>
        <v>4RM</v>
      </c>
    </row>
    <row r="134" spans="2:39" ht="12.75" customHeight="1" x14ac:dyDescent="0.3">
      <c r="B134" s="133">
        <v>21</v>
      </c>
      <c r="C134" s="142" t="s">
        <v>212</v>
      </c>
      <c r="D134" s="482">
        <v>3</v>
      </c>
      <c r="E134" s="482" t="str">
        <f>LEFT(AB134,LEN(AB134)-2)</f>
        <v>2</v>
      </c>
      <c r="F134" s="135">
        <f>IFERROR(VLOOKUP(C134,'01_RS ALCARRIA'!$F$6:$R$36,13,FALSE),"")</f>
        <v>4</v>
      </c>
      <c r="G134" s="135">
        <f>IFERROR(VLOOKUP(C134,'01_RS ALCARRIA'!$F$6:$T$36,15,FALSE),"")</f>
        <v>1</v>
      </c>
      <c r="H134" s="138">
        <f>(F134+G134)*2</f>
        <v>10</v>
      </c>
      <c r="I134" s="135"/>
      <c r="J134" s="135"/>
      <c r="K134" s="138"/>
      <c r="L134" s="135"/>
      <c r="M134" s="135"/>
      <c r="N134" s="138"/>
      <c r="O134" s="135"/>
      <c r="P134" s="135"/>
      <c r="Q134" s="138"/>
      <c r="R134" s="135"/>
      <c r="S134" s="135"/>
      <c r="T134" s="138"/>
      <c r="U134" s="135"/>
      <c r="V134" s="135"/>
      <c r="W134" s="138"/>
      <c r="X134" s="139">
        <f t="shared" si="17"/>
        <v>10</v>
      </c>
      <c r="Y134" s="140" t="str">
        <f t="shared" si="18"/>
        <v>No</v>
      </c>
      <c r="Z134" s="141">
        <f t="shared" si="19"/>
        <v>1</v>
      </c>
      <c r="AA134" s="148"/>
      <c r="AB134" s="262" t="str">
        <f>IFERROR(VLOOKUP(C134,Tabla15[[Piloto2]:[Puntos clase5]],4, FALSE), " ")</f>
        <v>2RM</v>
      </c>
    </row>
    <row r="135" spans="2:39" ht="12.75" customHeight="1" x14ac:dyDescent="0.3">
      <c r="B135" s="133">
        <v>21</v>
      </c>
      <c r="C135" s="142" t="s">
        <v>608</v>
      </c>
      <c r="D135" s="482">
        <v>3</v>
      </c>
      <c r="E135" s="482" t="str">
        <f>LEFT(AB135,LEN(AB135)-2)</f>
        <v>2</v>
      </c>
      <c r="F135" s="135">
        <f>IFERROR(VLOOKUP(C135,'01_RS ALCARRIA'!$F$6:$R$36,13,FALSE),"")</f>
        <v>3</v>
      </c>
      <c r="G135" s="135">
        <f>IFERROR(VLOOKUP(C135,'01_RS ALCARRIA'!$F$6:$T$36,15,FALSE),"")</f>
        <v>0</v>
      </c>
      <c r="H135" s="138">
        <f>(F135+G135)*2</f>
        <v>6</v>
      </c>
      <c r="I135" s="135">
        <f>IFERROR(VLOOKUP(C135,'02_TCT GUADAMUR'!$F$6:$R$36,13,FALSE),"")</f>
        <v>0</v>
      </c>
      <c r="J135" s="135">
        <f>IFERROR(VLOOKUP(C135,'02_TCT GUADAMUR'!$F$6:$T$36,15,FALSE),"")</f>
        <v>0</v>
      </c>
      <c r="K135" s="138">
        <f>(I135+J135)</f>
        <v>0</v>
      </c>
      <c r="L135" s="135">
        <f>IFERROR(VLOOKUP(C135,'03_TCT MAQUEDA'!$F$6:$R$36,13,FALSE),"")</f>
        <v>1</v>
      </c>
      <c r="M135" s="135">
        <f>IFERROR(VLOOKUP(C135,'03_TCT MAQUEDA'!$F$6:$T$36,15,FALSE),"")</f>
        <v>3</v>
      </c>
      <c r="N135" s="138">
        <f>(L135+M135)</f>
        <v>4</v>
      </c>
      <c r="O135" s="135"/>
      <c r="P135" s="135"/>
      <c r="Q135" s="138"/>
      <c r="R135" s="135"/>
      <c r="S135" s="135"/>
      <c r="T135" s="138"/>
      <c r="U135" s="135"/>
      <c r="V135" s="135"/>
      <c r="W135" s="138"/>
      <c r="X135" s="139">
        <f t="shared" si="17"/>
        <v>10</v>
      </c>
      <c r="Y135" s="140" t="str">
        <f t="shared" si="18"/>
        <v>Sí</v>
      </c>
      <c r="Z135" s="141">
        <f t="shared" si="19"/>
        <v>3</v>
      </c>
      <c r="AA135" s="148"/>
      <c r="AB135" s="262" t="str">
        <f>IFERROR(VLOOKUP(C135,Tabla15[[Piloto2]:[Puntos clase5]],4, FALSE), " ")</f>
        <v>2RM</v>
      </c>
    </row>
    <row r="136" spans="2:39" ht="12.75" customHeight="1" x14ac:dyDescent="0.3">
      <c r="B136" s="133">
        <v>23</v>
      </c>
      <c r="C136" s="142" t="s">
        <v>673</v>
      </c>
      <c r="D136" s="482">
        <v>3</v>
      </c>
      <c r="E136" s="482">
        <v>2</v>
      </c>
      <c r="F136" s="135"/>
      <c r="G136" s="135"/>
      <c r="H136" s="138"/>
      <c r="I136" s="135">
        <f>IFERROR(VLOOKUP(C136,'02_TCT GUADAMUR'!$F$6:$R$36,13,FALSE),"")</f>
        <v>3</v>
      </c>
      <c r="J136" s="135">
        <f>IFERROR(VLOOKUP(C136,'02_TCT GUADAMUR'!$F$6:$T$36,15,FALSE),"")</f>
        <v>5</v>
      </c>
      <c r="K136" s="138">
        <f>(I136+J136)</f>
        <v>8</v>
      </c>
      <c r="L136" s="135"/>
      <c r="M136" s="135"/>
      <c r="N136" s="138"/>
      <c r="O136" s="135"/>
      <c r="P136" s="135"/>
      <c r="Q136" s="138"/>
      <c r="R136" s="135"/>
      <c r="S136" s="135"/>
      <c r="T136" s="138"/>
      <c r="U136" s="135"/>
      <c r="V136" s="135"/>
      <c r="W136" s="138"/>
      <c r="X136" s="139">
        <f t="shared" si="17"/>
        <v>8</v>
      </c>
      <c r="Y136" s="140" t="str">
        <f t="shared" si="18"/>
        <v>No</v>
      </c>
      <c r="Z136" s="141">
        <f t="shared" si="19"/>
        <v>1</v>
      </c>
      <c r="AA136" s="148"/>
      <c r="AB136" s="262" t="str">
        <f>IFERROR(VLOOKUP(C136,Tabla15[[Piloto2]:[Puntos clase5]],4, FALSE), " ")</f>
        <v xml:space="preserve"> </v>
      </c>
    </row>
    <row r="137" spans="2:39" ht="12.75" customHeight="1" x14ac:dyDescent="0.3">
      <c r="B137" s="133">
        <v>23</v>
      </c>
      <c r="C137" s="142" t="s">
        <v>699</v>
      </c>
      <c r="D137" s="482">
        <v>5</v>
      </c>
      <c r="E137" s="482">
        <v>2</v>
      </c>
      <c r="F137" s="135"/>
      <c r="G137" s="135"/>
      <c r="H137" s="138"/>
      <c r="I137" s="135"/>
      <c r="J137" s="135"/>
      <c r="K137" s="138"/>
      <c r="L137" s="135">
        <f>IFERROR(VLOOKUP(C137,'03_TCT MAQUEDA'!$F$6:$R$36,13,FALSE),"")</f>
        <v>4</v>
      </c>
      <c r="M137" s="284">
        <f>IFERROR(VLOOKUP(C137,'03_TCT MAQUEDA'!$F$6:$T$36,15,FALSE),"")/2</f>
        <v>4</v>
      </c>
      <c r="N137" s="138">
        <f t="shared" ref="N137:N142" si="21">(L137+M137)</f>
        <v>8</v>
      </c>
      <c r="O137" s="135"/>
      <c r="P137" s="135"/>
      <c r="Q137" s="138"/>
      <c r="R137" s="135"/>
      <c r="S137" s="135"/>
      <c r="T137" s="138"/>
      <c r="U137" s="135"/>
      <c r="V137" s="135"/>
      <c r="W137" s="138"/>
      <c r="X137" s="139">
        <f t="shared" si="17"/>
        <v>8</v>
      </c>
      <c r="Y137" s="140" t="str">
        <f t="shared" si="18"/>
        <v>No</v>
      </c>
      <c r="Z137" s="141">
        <f t="shared" si="19"/>
        <v>1</v>
      </c>
      <c r="AA137" s="148"/>
      <c r="AB137" s="262" t="str">
        <f>IFERROR(VLOOKUP(C137,Tabla15[[Piloto2]:[Puntos clase5]],4, FALSE), " ")</f>
        <v xml:space="preserve"> </v>
      </c>
    </row>
    <row r="138" spans="2:39" ht="12.75" customHeight="1" x14ac:dyDescent="0.3">
      <c r="B138" s="133">
        <v>25</v>
      </c>
      <c r="C138" s="142" t="s">
        <v>633</v>
      </c>
      <c r="D138" s="482">
        <v>3</v>
      </c>
      <c r="E138" s="482">
        <v>2</v>
      </c>
      <c r="F138" s="135">
        <v>0</v>
      </c>
      <c r="G138" s="135">
        <v>0</v>
      </c>
      <c r="H138" s="138">
        <f>(F138+G138)*2</f>
        <v>0</v>
      </c>
      <c r="I138" s="135"/>
      <c r="J138" s="135"/>
      <c r="K138" s="138"/>
      <c r="L138" s="135">
        <f>IFERROR(VLOOKUP(C138,'03_TCT MAQUEDA'!$F$6:$R$36,13,FALSE),"")</f>
        <v>2</v>
      </c>
      <c r="M138" s="135">
        <f>IFERROR(VLOOKUP(C138,'03_TCT MAQUEDA'!$F$6:$T$36,15,FALSE),"")</f>
        <v>5</v>
      </c>
      <c r="N138" s="138">
        <f t="shared" si="21"/>
        <v>7</v>
      </c>
      <c r="O138" s="135"/>
      <c r="P138" s="135"/>
      <c r="Q138" s="138"/>
      <c r="R138" s="135"/>
      <c r="S138" s="135"/>
      <c r="T138" s="138"/>
      <c r="U138" s="135"/>
      <c r="V138" s="135"/>
      <c r="W138" s="138"/>
      <c r="X138" s="139">
        <f t="shared" si="17"/>
        <v>7</v>
      </c>
      <c r="Y138" s="140" t="str">
        <f t="shared" si="18"/>
        <v>No</v>
      </c>
      <c r="Z138" s="141">
        <f t="shared" si="19"/>
        <v>2</v>
      </c>
      <c r="AA138" s="148"/>
      <c r="AB138" s="262" t="str">
        <f>IFERROR(VLOOKUP(C138,Tabla15[[Piloto2]:[Puntos clase5]],4, FALSE), " ")</f>
        <v>2RM</v>
      </c>
    </row>
    <row r="139" spans="2:39" ht="12.75" customHeight="1" x14ac:dyDescent="0.3">
      <c r="B139" s="133">
        <v>26</v>
      </c>
      <c r="C139" s="142" t="s">
        <v>679</v>
      </c>
      <c r="D139" s="482">
        <v>1</v>
      </c>
      <c r="E139" s="482">
        <v>4</v>
      </c>
      <c r="F139" s="135"/>
      <c r="G139" s="135"/>
      <c r="H139" s="138"/>
      <c r="I139" s="135">
        <v>0</v>
      </c>
      <c r="J139" s="135">
        <v>0</v>
      </c>
      <c r="K139" s="138">
        <f>(I139+J139)</f>
        <v>0</v>
      </c>
      <c r="L139" s="135">
        <f>IFERROR(VLOOKUP(C139,'03_TCT MAQUEDA'!$F$6:$R$36,13,FALSE),"")</f>
        <v>0</v>
      </c>
      <c r="M139" s="135">
        <f>IFERROR(VLOOKUP(C139,'03_TCT MAQUEDA'!$F$6:$T$36,15,FALSE),"")</f>
        <v>6</v>
      </c>
      <c r="N139" s="138">
        <f t="shared" si="21"/>
        <v>6</v>
      </c>
      <c r="O139" s="135"/>
      <c r="P139" s="135"/>
      <c r="Q139" s="138"/>
      <c r="R139" s="135"/>
      <c r="S139" s="135"/>
      <c r="T139" s="138"/>
      <c r="U139" s="135"/>
      <c r="V139" s="135"/>
      <c r="W139" s="138"/>
      <c r="X139" s="139">
        <f t="shared" si="17"/>
        <v>6</v>
      </c>
      <c r="Y139" s="140" t="str">
        <f t="shared" si="18"/>
        <v>No</v>
      </c>
      <c r="Z139" s="141">
        <f t="shared" si="19"/>
        <v>2</v>
      </c>
      <c r="AA139" s="148"/>
      <c r="AB139" s="262" t="str">
        <f>IFERROR(VLOOKUP(C139,Tabla15[[Piloto2]:[Puntos clase5]],4, FALSE), " ")</f>
        <v xml:space="preserve"> </v>
      </c>
    </row>
    <row r="140" spans="2:39" ht="12.75" customHeight="1" x14ac:dyDescent="0.3">
      <c r="B140" s="133">
        <v>26</v>
      </c>
      <c r="C140" s="142" t="s">
        <v>684</v>
      </c>
      <c r="D140" s="482">
        <v>4</v>
      </c>
      <c r="E140" s="482">
        <v>2</v>
      </c>
      <c r="F140" s="135"/>
      <c r="G140" s="135"/>
      <c r="H140" s="138"/>
      <c r="I140" s="135">
        <v>0</v>
      </c>
      <c r="J140" s="135">
        <v>0</v>
      </c>
      <c r="K140" s="138">
        <f>(I140+J140)</f>
        <v>0</v>
      </c>
      <c r="L140" s="135">
        <f>IFERROR(VLOOKUP(C140,'03_TCT MAQUEDA'!$F$6:$R$36,13,FALSE),"")</f>
        <v>0</v>
      </c>
      <c r="M140" s="135">
        <f>IFERROR(VLOOKUP(C140,'03_TCT MAQUEDA'!$F$6:$T$36,15,FALSE),"")</f>
        <v>6</v>
      </c>
      <c r="N140" s="138">
        <f t="shared" si="21"/>
        <v>6</v>
      </c>
      <c r="O140" s="135"/>
      <c r="P140" s="135"/>
      <c r="Q140" s="138"/>
      <c r="R140" s="135"/>
      <c r="S140" s="135"/>
      <c r="T140" s="138"/>
      <c r="U140" s="135"/>
      <c r="V140" s="135"/>
      <c r="W140" s="138"/>
      <c r="X140" s="139">
        <f t="shared" si="17"/>
        <v>6</v>
      </c>
      <c r="Y140" s="140" t="str">
        <f t="shared" si="18"/>
        <v>No</v>
      </c>
      <c r="Z140" s="141">
        <f t="shared" si="19"/>
        <v>2</v>
      </c>
      <c r="AA140" s="148"/>
      <c r="AB140" s="262" t="str">
        <f>IFERROR(VLOOKUP(C140,Tabla15[[Piloto2]:[Puntos clase5]],4, FALSE), " ")</f>
        <v xml:space="preserve"> </v>
      </c>
    </row>
    <row r="141" spans="2:39" ht="12.75" customHeight="1" x14ac:dyDescent="0.3">
      <c r="B141" s="133">
        <v>28</v>
      </c>
      <c r="C141" s="142" t="s">
        <v>629</v>
      </c>
      <c r="D141" s="482">
        <v>2</v>
      </c>
      <c r="E141" s="482">
        <v>2</v>
      </c>
      <c r="F141" s="135">
        <v>0</v>
      </c>
      <c r="G141" s="135">
        <v>0</v>
      </c>
      <c r="H141" s="138">
        <f>(F141+G141)*2</f>
        <v>0</v>
      </c>
      <c r="I141" s="135">
        <v>0</v>
      </c>
      <c r="J141" s="135">
        <v>0</v>
      </c>
      <c r="K141" s="138">
        <f>(I141+J141)</f>
        <v>0</v>
      </c>
      <c r="L141" s="135">
        <f>IFERROR(VLOOKUP(C141,'03_TCT MAQUEDA'!$F$6:$R$36,13,FALSE),"")</f>
        <v>0</v>
      </c>
      <c r="M141" s="135">
        <f>IFERROR(VLOOKUP(C141,'03_TCT MAQUEDA'!$F$6:$T$36,15,FALSE),"")</f>
        <v>5</v>
      </c>
      <c r="N141" s="138">
        <f t="shared" si="21"/>
        <v>5</v>
      </c>
      <c r="O141" s="135"/>
      <c r="P141" s="135"/>
      <c r="Q141" s="138"/>
      <c r="R141" s="135"/>
      <c r="S141" s="135"/>
      <c r="T141" s="138"/>
      <c r="U141" s="135"/>
      <c r="V141" s="135"/>
      <c r="W141" s="138"/>
      <c r="X141" s="139">
        <f t="shared" si="17"/>
        <v>5</v>
      </c>
      <c r="Y141" s="140" t="str">
        <f t="shared" si="18"/>
        <v>Sí</v>
      </c>
      <c r="Z141" s="141">
        <f t="shared" si="19"/>
        <v>3</v>
      </c>
      <c r="AA141" s="148"/>
      <c r="AB141" s="262"/>
    </row>
    <row r="142" spans="2:39" ht="12.75" customHeight="1" x14ac:dyDescent="0.3">
      <c r="B142" s="133">
        <v>29</v>
      </c>
      <c r="C142" s="142" t="s">
        <v>613</v>
      </c>
      <c r="D142" s="482">
        <v>3</v>
      </c>
      <c r="E142" s="482">
        <v>2</v>
      </c>
      <c r="F142" s="135">
        <f>IFERROR(VLOOKUP(C142,'01_RS ALCARRIA'!$F$6:$R$36,13,FALSE),"")</f>
        <v>1</v>
      </c>
      <c r="G142" s="135">
        <f>IFERROR(VLOOKUP(C142,'01_RS ALCARRIA'!$F$6:$T$36,15,FALSE),"")</f>
        <v>0</v>
      </c>
      <c r="H142" s="138">
        <f>(F142+G142)*2</f>
        <v>2</v>
      </c>
      <c r="I142" s="135"/>
      <c r="J142" s="135"/>
      <c r="K142" s="138"/>
      <c r="L142" s="135">
        <f>IFERROR(VLOOKUP(C142,'03_TCT MAQUEDA'!$F$6:$R$36,13,FALSE),"")</f>
        <v>0</v>
      </c>
      <c r="M142" s="135">
        <f>IFERROR(VLOOKUP(C142,'03_TCT MAQUEDA'!$F$6:$T$36,15,FALSE),"")</f>
        <v>1</v>
      </c>
      <c r="N142" s="138">
        <f t="shared" si="21"/>
        <v>1</v>
      </c>
      <c r="O142" s="135"/>
      <c r="P142" s="135"/>
      <c r="Q142" s="138"/>
      <c r="R142" s="135"/>
      <c r="S142" s="135"/>
      <c r="T142" s="138"/>
      <c r="U142" s="135"/>
      <c r="V142" s="135"/>
      <c r="W142" s="138"/>
      <c r="X142" s="139">
        <f t="shared" si="17"/>
        <v>3</v>
      </c>
      <c r="Y142" s="140" t="str">
        <f t="shared" si="18"/>
        <v>No</v>
      </c>
      <c r="Z142" s="141">
        <f t="shared" si="19"/>
        <v>2</v>
      </c>
      <c r="AA142" s="148"/>
      <c r="AB142" s="262"/>
    </row>
    <row r="143" spans="2:39" ht="12.75" customHeight="1" x14ac:dyDescent="0.3">
      <c r="B143" s="133" t="s">
        <v>658</v>
      </c>
      <c r="C143" s="142" t="s">
        <v>620</v>
      </c>
      <c r="D143" s="482">
        <v>3</v>
      </c>
      <c r="E143" s="482">
        <v>2</v>
      </c>
      <c r="F143" s="135">
        <f>IFERROR(VLOOKUP(C143,'01_RS ALCARRIA'!$F$6:$R$36,13,FALSE),"")</f>
        <v>0</v>
      </c>
      <c r="G143" s="135">
        <f>IFERROR(VLOOKUP(C143,'01_RS ALCARRIA'!$F$6:$T$36,15,FALSE),"")</f>
        <v>0</v>
      </c>
      <c r="H143" s="138">
        <f>(F143+G143)*2</f>
        <v>0</v>
      </c>
      <c r="I143" s="135"/>
      <c r="J143" s="135"/>
      <c r="K143" s="138"/>
      <c r="L143" s="135"/>
      <c r="M143" s="135"/>
      <c r="N143" s="138"/>
      <c r="O143" s="135"/>
      <c r="P143" s="135"/>
      <c r="Q143" s="138"/>
      <c r="R143" s="135"/>
      <c r="S143" s="135"/>
      <c r="T143" s="138"/>
      <c r="U143" s="135"/>
      <c r="V143" s="135"/>
      <c r="W143" s="138"/>
      <c r="X143" s="139">
        <f t="shared" si="17"/>
        <v>0</v>
      </c>
      <c r="Y143" s="140" t="str">
        <f t="shared" si="18"/>
        <v>No</v>
      </c>
      <c r="Z143" s="141">
        <f t="shared" si="19"/>
        <v>1</v>
      </c>
      <c r="AA143" s="148"/>
      <c r="AB143" s="262"/>
    </row>
    <row r="144" spans="2:39" ht="12.75" customHeight="1" x14ac:dyDescent="0.3">
      <c r="B144" s="133" t="s">
        <v>658</v>
      </c>
      <c r="C144" s="134" t="s">
        <v>636</v>
      </c>
      <c r="D144" s="482">
        <v>5</v>
      </c>
      <c r="E144" s="482">
        <v>2</v>
      </c>
      <c r="F144" s="135">
        <v>0</v>
      </c>
      <c r="G144" s="135">
        <v>0</v>
      </c>
      <c r="H144" s="138">
        <f>(F144+G144)*2</f>
        <v>0</v>
      </c>
      <c r="I144" s="135"/>
      <c r="J144" s="135"/>
      <c r="K144" s="138"/>
      <c r="L144" s="135"/>
      <c r="M144" s="135"/>
      <c r="N144" s="138"/>
      <c r="O144" s="135"/>
      <c r="P144" s="135"/>
      <c r="Q144" s="138"/>
      <c r="R144" s="135"/>
      <c r="S144" s="135"/>
      <c r="T144" s="138"/>
      <c r="U144" s="135"/>
      <c r="V144" s="135"/>
      <c r="W144" s="138"/>
      <c r="X144" s="139">
        <f t="shared" si="17"/>
        <v>0</v>
      </c>
      <c r="Y144" s="140"/>
      <c r="Z144" s="141"/>
      <c r="AA144" s="148"/>
      <c r="AB144" s="262"/>
    </row>
    <row r="145" spans="2:39" ht="12.75" customHeight="1" x14ac:dyDescent="0.3">
      <c r="B145" s="133" t="s">
        <v>658</v>
      </c>
      <c r="C145" s="142" t="s">
        <v>458</v>
      </c>
      <c r="D145" s="482" t="s">
        <v>359</v>
      </c>
      <c r="E145" s="482" t="s">
        <v>359</v>
      </c>
      <c r="F145" s="135"/>
      <c r="G145" s="135"/>
      <c r="H145" s="138"/>
      <c r="I145" s="135">
        <v>0</v>
      </c>
      <c r="J145" s="135">
        <v>0</v>
      </c>
      <c r="K145" s="138">
        <f>(I145+J145)</f>
        <v>0</v>
      </c>
      <c r="L145" s="135">
        <v>0</v>
      </c>
      <c r="M145" s="135">
        <v>0</v>
      </c>
      <c r="N145" s="138">
        <f t="shared" ref="N145:N150" si="22">(L145+M145)</f>
        <v>0</v>
      </c>
      <c r="O145" s="135"/>
      <c r="P145" s="135"/>
      <c r="Q145" s="138"/>
      <c r="R145" s="135"/>
      <c r="S145" s="135"/>
      <c r="T145" s="138"/>
      <c r="U145" s="135"/>
      <c r="V145" s="135"/>
      <c r="W145" s="138"/>
      <c r="X145" s="139">
        <f t="shared" si="17"/>
        <v>0</v>
      </c>
      <c r="Y145" s="140"/>
      <c r="Z145" s="141"/>
      <c r="AA145" s="148"/>
      <c r="AB145" s="262"/>
    </row>
    <row r="146" spans="2:39" ht="12.75" customHeight="1" x14ac:dyDescent="0.3">
      <c r="B146" s="133" t="s">
        <v>658</v>
      </c>
      <c r="C146" s="142" t="s">
        <v>681</v>
      </c>
      <c r="D146" s="482">
        <v>3</v>
      </c>
      <c r="E146" s="482">
        <v>2</v>
      </c>
      <c r="F146" s="135"/>
      <c r="G146" s="135"/>
      <c r="H146" s="138"/>
      <c r="I146" s="135">
        <v>0</v>
      </c>
      <c r="J146" s="135">
        <v>0</v>
      </c>
      <c r="K146" s="138">
        <f>(I146+J146)</f>
        <v>0</v>
      </c>
      <c r="L146" s="135">
        <v>0</v>
      </c>
      <c r="M146" s="135">
        <v>0</v>
      </c>
      <c r="N146" s="138">
        <f t="shared" si="22"/>
        <v>0</v>
      </c>
      <c r="O146" s="135"/>
      <c r="P146" s="135"/>
      <c r="Q146" s="138"/>
      <c r="R146" s="135"/>
      <c r="S146" s="135"/>
      <c r="T146" s="138"/>
      <c r="U146" s="135"/>
      <c r="V146" s="135"/>
      <c r="W146" s="138"/>
      <c r="X146" s="139">
        <f t="shared" si="17"/>
        <v>0</v>
      </c>
      <c r="Y146" s="140"/>
      <c r="Z146" s="141"/>
      <c r="AA146" s="148"/>
      <c r="AB146" s="262"/>
    </row>
    <row r="147" spans="2:39" ht="12.75" customHeight="1" x14ac:dyDescent="0.3">
      <c r="B147" s="133" t="s">
        <v>658</v>
      </c>
      <c r="C147" s="142" t="s">
        <v>700</v>
      </c>
      <c r="D147" s="482">
        <v>3</v>
      </c>
      <c r="E147" s="482">
        <v>2</v>
      </c>
      <c r="F147" s="135"/>
      <c r="G147" s="135"/>
      <c r="H147" s="138"/>
      <c r="I147" s="135"/>
      <c r="J147" s="135"/>
      <c r="K147" s="138"/>
      <c r="L147" s="135">
        <v>0</v>
      </c>
      <c r="M147" s="135">
        <v>0</v>
      </c>
      <c r="N147" s="138">
        <f t="shared" si="22"/>
        <v>0</v>
      </c>
      <c r="O147" s="135"/>
      <c r="P147" s="135"/>
      <c r="Q147" s="138"/>
      <c r="R147" s="135"/>
      <c r="S147" s="135"/>
      <c r="T147" s="138"/>
      <c r="U147" s="135"/>
      <c r="V147" s="135"/>
      <c r="W147" s="138"/>
      <c r="X147" s="139">
        <f t="shared" si="17"/>
        <v>0</v>
      </c>
      <c r="Y147" s="140"/>
      <c r="Z147" s="141"/>
      <c r="AA147" s="148"/>
      <c r="AB147" s="262"/>
    </row>
    <row r="148" spans="2:39" ht="12.75" customHeight="1" x14ac:dyDescent="0.3">
      <c r="B148" s="133" t="s">
        <v>658</v>
      </c>
      <c r="C148" s="142" t="s">
        <v>701</v>
      </c>
      <c r="D148" s="482">
        <v>3</v>
      </c>
      <c r="E148" s="482">
        <v>2</v>
      </c>
      <c r="F148" s="135"/>
      <c r="G148" s="135"/>
      <c r="H148" s="138"/>
      <c r="I148" s="135"/>
      <c r="J148" s="135"/>
      <c r="K148" s="138"/>
      <c r="L148" s="135">
        <v>0</v>
      </c>
      <c r="M148" s="135">
        <v>0</v>
      </c>
      <c r="N148" s="138">
        <f t="shared" si="22"/>
        <v>0</v>
      </c>
      <c r="O148" s="135"/>
      <c r="P148" s="135"/>
      <c r="Q148" s="138"/>
      <c r="R148" s="135"/>
      <c r="S148" s="135"/>
      <c r="T148" s="138"/>
      <c r="U148" s="135"/>
      <c r="V148" s="135"/>
      <c r="W148" s="138"/>
      <c r="X148" s="139">
        <f t="shared" si="17"/>
        <v>0</v>
      </c>
      <c r="Y148" s="140"/>
      <c r="Z148" s="141"/>
      <c r="AA148" s="148"/>
      <c r="AB148" s="262"/>
    </row>
    <row r="149" spans="2:39" ht="12.75" customHeight="1" x14ac:dyDescent="0.3">
      <c r="B149" s="133" t="s">
        <v>658</v>
      </c>
      <c r="C149" s="142" t="s">
        <v>276</v>
      </c>
      <c r="D149" s="482">
        <v>3</v>
      </c>
      <c r="E149" s="482">
        <v>2</v>
      </c>
      <c r="F149" s="135"/>
      <c r="G149" s="135"/>
      <c r="H149" s="138"/>
      <c r="I149" s="135"/>
      <c r="J149" s="135"/>
      <c r="K149" s="138"/>
      <c r="L149" s="135">
        <v>0</v>
      </c>
      <c r="M149" s="135">
        <v>0</v>
      </c>
      <c r="N149" s="138">
        <f t="shared" si="22"/>
        <v>0</v>
      </c>
      <c r="O149" s="135"/>
      <c r="P149" s="135"/>
      <c r="Q149" s="138"/>
      <c r="R149" s="135"/>
      <c r="S149" s="135"/>
      <c r="T149" s="138"/>
      <c r="U149" s="135"/>
      <c r="V149" s="135"/>
      <c r="W149" s="138"/>
      <c r="X149" s="139">
        <f t="shared" si="17"/>
        <v>0</v>
      </c>
      <c r="Y149" s="140"/>
      <c r="Z149" s="141"/>
      <c r="AA149" s="148"/>
      <c r="AB149" s="262"/>
    </row>
    <row r="150" spans="2:39" ht="12.75" customHeight="1" x14ac:dyDescent="0.3">
      <c r="B150" s="133" t="s">
        <v>658</v>
      </c>
      <c r="C150" s="142" t="s">
        <v>703</v>
      </c>
      <c r="D150" s="482">
        <v>2</v>
      </c>
      <c r="E150" s="482">
        <v>2</v>
      </c>
      <c r="F150" s="135"/>
      <c r="G150" s="135"/>
      <c r="H150" s="138"/>
      <c r="I150" s="135"/>
      <c r="J150" s="135"/>
      <c r="K150" s="138"/>
      <c r="L150" s="135">
        <v>0</v>
      </c>
      <c r="M150" s="135">
        <v>0</v>
      </c>
      <c r="N150" s="138">
        <f t="shared" si="22"/>
        <v>0</v>
      </c>
      <c r="O150" s="135"/>
      <c r="P150" s="135"/>
      <c r="Q150" s="138"/>
      <c r="R150" s="135"/>
      <c r="S150" s="135"/>
      <c r="T150" s="138"/>
      <c r="U150" s="135"/>
      <c r="V150" s="135"/>
      <c r="W150" s="138"/>
      <c r="X150" s="139">
        <f t="shared" si="17"/>
        <v>0</v>
      </c>
      <c r="Y150" s="140"/>
      <c r="Z150" s="141"/>
      <c r="AA150" s="148"/>
      <c r="AB150" s="262"/>
    </row>
    <row r="151" spans="2:39" ht="12.75" customHeight="1" x14ac:dyDescent="0.3">
      <c r="B151" s="147"/>
      <c r="C151" s="147"/>
      <c r="D151" s="147"/>
      <c r="E151" s="147"/>
      <c r="F151" s="147"/>
      <c r="G151" s="147"/>
      <c r="H151" s="147"/>
      <c r="I151" s="147"/>
      <c r="J151" s="147"/>
      <c r="K151" s="147"/>
      <c r="L151" s="147"/>
      <c r="M151" s="147"/>
      <c r="N151" s="147"/>
      <c r="O151" s="147"/>
      <c r="P151" s="147"/>
      <c r="Q151" s="147"/>
      <c r="R151" s="147"/>
      <c r="S151" s="147"/>
      <c r="T151" s="147"/>
      <c r="U151" s="147"/>
      <c r="V151" s="147"/>
      <c r="W151" s="147"/>
      <c r="X151" s="147"/>
      <c r="Y151" s="240"/>
      <c r="Z151" s="127"/>
      <c r="AA151" s="148"/>
      <c r="AB151" s="262"/>
    </row>
    <row r="152" spans="2:39" ht="3.75" customHeight="1" x14ac:dyDescent="0.3">
      <c r="B152" s="155"/>
      <c r="F152" s="155"/>
      <c r="G152" s="155"/>
      <c r="H152" s="155"/>
      <c r="I152" s="155"/>
      <c r="J152" s="155"/>
      <c r="K152" s="155"/>
      <c r="L152" s="155"/>
      <c r="M152" s="155"/>
      <c r="N152" s="155"/>
      <c r="O152" s="155"/>
      <c r="P152" s="155"/>
      <c r="Q152" s="155"/>
      <c r="R152" s="155"/>
      <c r="S152" s="155"/>
      <c r="T152" s="155"/>
      <c r="U152" s="155"/>
      <c r="V152" s="155"/>
      <c r="W152" s="155"/>
      <c r="X152" s="155"/>
      <c r="Y152" s="147"/>
      <c r="Z152" s="127"/>
      <c r="AA152" s="148"/>
      <c r="AB152" s="262"/>
      <c r="AC152" s="8"/>
      <c r="AD152" s="8"/>
      <c r="AE152" s="8"/>
      <c r="AF152" s="8"/>
      <c r="AG152" s="8"/>
      <c r="AH152" s="8"/>
      <c r="AI152" s="8"/>
      <c r="AJ152" s="8"/>
      <c r="AK152" s="8"/>
      <c r="AL152" s="158"/>
      <c r="AM152" s="8"/>
    </row>
    <row r="153" spans="2:39" ht="12.75" customHeight="1" x14ac:dyDescent="0.3">
      <c r="B153" s="1"/>
      <c r="C153" s="235"/>
      <c r="D153" s="284"/>
      <c r="E153" s="285" t="s">
        <v>534</v>
      </c>
      <c r="F153" s="147"/>
      <c r="G153" s="147"/>
      <c r="H153" s="147"/>
      <c r="I153" s="147"/>
      <c r="J153" s="147"/>
      <c r="K153" s="147"/>
      <c r="L153" s="147"/>
      <c r="M153" s="147"/>
      <c r="N153" s="147"/>
      <c r="O153" s="147"/>
      <c r="P153" s="147"/>
      <c r="Q153" s="147"/>
      <c r="R153" s="147"/>
      <c r="S153" s="147"/>
      <c r="T153" s="147"/>
      <c r="U153" s="147"/>
      <c r="V153" s="147"/>
      <c r="W153" s="147"/>
      <c r="X153" s="147"/>
      <c r="Y153" s="147"/>
      <c r="Z153" s="147"/>
      <c r="AA153" s="148"/>
      <c r="AB153" s="262"/>
    </row>
    <row r="154" spans="2:39" ht="3.65" customHeight="1" x14ac:dyDescent="0.3">
      <c r="B154" s="155"/>
      <c r="C154" s="236"/>
      <c r="D154" s="155"/>
      <c r="E154" s="155"/>
      <c r="F154" s="147"/>
      <c r="G154" s="147"/>
      <c r="H154" s="147"/>
      <c r="I154" s="147"/>
      <c r="J154" s="147"/>
      <c r="K154" s="147"/>
      <c r="L154" s="147"/>
      <c r="M154" s="147"/>
      <c r="N154" s="147"/>
      <c r="O154" s="147"/>
      <c r="P154" s="147"/>
      <c r="Q154" s="147"/>
      <c r="R154" s="147"/>
      <c r="S154" s="147"/>
      <c r="T154" s="147"/>
      <c r="U154" s="147"/>
      <c r="V154" s="147"/>
      <c r="W154" s="147"/>
      <c r="X154" s="147"/>
      <c r="Y154" s="147"/>
      <c r="Z154" s="7"/>
      <c r="AA154" s="7"/>
      <c r="AC154" s="8" t="e">
        <f>AC131+#REF!</f>
        <v>#REF!</v>
      </c>
      <c r="AD154" s="8" t="e">
        <f>AD131+#REF!</f>
        <v>#REF!</v>
      </c>
      <c r="AE154" s="8" t="e">
        <f>AE131+#REF!</f>
        <v>#REF!</v>
      </c>
      <c r="AF154" s="8" t="e">
        <f>AF131+#REF!</f>
        <v>#REF!</v>
      </c>
      <c r="AG154" s="8" t="e">
        <f>AG131+#REF!</f>
        <v>#REF!</v>
      </c>
      <c r="AH154" s="8" t="e">
        <f>AH131+#REF!</f>
        <v>#REF!</v>
      </c>
      <c r="AI154" s="8"/>
      <c r="AJ154" s="8"/>
      <c r="AK154" s="8"/>
      <c r="AL154" s="9"/>
      <c r="AM154" s="8" t="e">
        <f>SUM(AD154:AJ154)</f>
        <v>#REF!</v>
      </c>
    </row>
    <row r="155" spans="2:39" ht="12" x14ac:dyDescent="0.3">
      <c r="B155" s="155"/>
      <c r="C155" s="236"/>
      <c r="D155" s="142" t="s">
        <v>691</v>
      </c>
      <c r="E155" s="130" t="s">
        <v>693</v>
      </c>
      <c r="F155" s="147"/>
      <c r="G155" s="147"/>
      <c r="H155" s="147"/>
      <c r="I155" s="147"/>
      <c r="J155" s="147"/>
      <c r="K155" s="147"/>
      <c r="L155" s="147"/>
      <c r="M155" s="147"/>
      <c r="N155" s="147"/>
      <c r="O155" s="147"/>
      <c r="P155" s="147"/>
      <c r="Q155" s="147"/>
      <c r="R155" s="147"/>
      <c r="S155" s="147"/>
      <c r="T155" s="147"/>
      <c r="U155" s="147"/>
      <c r="V155" s="147"/>
      <c r="W155" s="147"/>
      <c r="X155" s="147"/>
      <c r="Y155" s="147"/>
      <c r="Z155" s="7"/>
      <c r="AA155" s="7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</row>
    <row r="156" spans="2:39" ht="12" x14ac:dyDescent="0.3">
      <c r="B156" s="155"/>
      <c r="C156" s="236"/>
      <c r="D156" s="155"/>
      <c r="E156" s="155"/>
      <c r="F156" s="147"/>
      <c r="G156" s="147"/>
      <c r="H156" s="147"/>
      <c r="I156" s="147"/>
      <c r="J156" s="147"/>
      <c r="K156" s="147"/>
      <c r="L156" s="147"/>
      <c r="M156" s="147"/>
      <c r="N156" s="147"/>
      <c r="O156" s="147"/>
      <c r="P156" s="147"/>
      <c r="Q156" s="147"/>
      <c r="R156" s="147"/>
      <c r="S156" s="147"/>
      <c r="T156" s="147"/>
      <c r="U156" s="147"/>
      <c r="V156" s="147"/>
      <c r="W156" s="147"/>
      <c r="X156" s="147"/>
      <c r="Y156" s="147"/>
      <c r="Z156" s="7"/>
      <c r="AA156" s="7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</row>
    <row r="157" spans="2:39" ht="39" customHeight="1" x14ac:dyDescent="0.55000000000000004">
      <c r="B157" s="164" t="s">
        <v>516</v>
      </c>
      <c r="C157" s="165"/>
      <c r="D157" s="165"/>
      <c r="E157" s="165"/>
      <c r="F157" s="165"/>
      <c r="G157" s="165"/>
      <c r="H157" s="165"/>
      <c r="I157" s="165"/>
      <c r="J157" s="165"/>
      <c r="K157" s="165"/>
      <c r="L157" s="165"/>
      <c r="M157" s="165"/>
      <c r="N157" s="165"/>
      <c r="O157" s="165"/>
      <c r="P157" s="165"/>
      <c r="Q157" s="165"/>
      <c r="R157" s="165"/>
      <c r="S157" s="165"/>
      <c r="T157" s="165"/>
      <c r="U157" s="165"/>
      <c r="V157" s="165"/>
      <c r="W157" s="165"/>
      <c r="X157" s="165"/>
    </row>
    <row r="158" spans="2:39" ht="37.5" customHeight="1" x14ac:dyDescent="0.3">
      <c r="B158" s="166" t="s">
        <v>533</v>
      </c>
      <c r="C158" s="167"/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/>
      <c r="Y158" s="30"/>
      <c r="Z158" s="30"/>
    </row>
    <row r="159" spans="2:39" ht="12.75" customHeight="1" x14ac:dyDescent="0.3">
      <c r="B159" s="162"/>
      <c r="C159" s="168"/>
      <c r="D159" s="161"/>
      <c r="E159" s="161"/>
      <c r="F159" s="222" t="s">
        <v>220</v>
      </c>
      <c r="G159" s="223"/>
      <c r="H159" s="224"/>
      <c r="I159" s="222" t="s">
        <v>663</v>
      </c>
      <c r="J159" s="225"/>
      <c r="K159" s="226"/>
      <c r="L159" s="222" t="s">
        <v>532</v>
      </c>
      <c r="M159" s="225"/>
      <c r="N159" s="226"/>
      <c r="O159" s="222" t="s">
        <v>526</v>
      </c>
      <c r="P159" s="225"/>
      <c r="Q159" s="226"/>
      <c r="R159" s="222" t="s">
        <v>287</v>
      </c>
      <c r="S159" s="225"/>
      <c r="T159" s="226"/>
      <c r="U159" s="413" t="s">
        <v>527</v>
      </c>
      <c r="V159" s="226"/>
      <c r="W159" s="226"/>
      <c r="X159" s="161" t="s">
        <v>213</v>
      </c>
      <c r="Y159" s="30"/>
      <c r="Z159" s="30"/>
    </row>
    <row r="160" spans="2:39" ht="12.75" customHeight="1" x14ac:dyDescent="0.3">
      <c r="B160" s="159" t="s">
        <v>0</v>
      </c>
      <c r="C160" s="170" t="s">
        <v>166</v>
      </c>
      <c r="D160" s="160" t="s">
        <v>2</v>
      </c>
      <c r="E160" s="160" t="s">
        <v>3</v>
      </c>
      <c r="F160" s="217" t="s">
        <v>523</v>
      </c>
      <c r="G160" s="218"/>
      <c r="H160" s="219"/>
      <c r="I160" s="217" t="s">
        <v>525</v>
      </c>
      <c r="J160" s="220"/>
      <c r="K160" s="221"/>
      <c r="L160" s="217" t="s">
        <v>664</v>
      </c>
      <c r="M160" s="220"/>
      <c r="N160" s="221"/>
      <c r="O160" s="217" t="s">
        <v>529</v>
      </c>
      <c r="P160" s="220"/>
      <c r="Q160" s="221"/>
      <c r="R160" s="217" t="s">
        <v>530</v>
      </c>
      <c r="S160" s="220"/>
      <c r="T160" s="221"/>
      <c r="U160" s="414" t="s">
        <v>528</v>
      </c>
      <c r="V160" s="255"/>
      <c r="W160" s="415"/>
      <c r="X160" s="160" t="s">
        <v>9</v>
      </c>
      <c r="Y160" s="519" t="s">
        <v>223</v>
      </c>
      <c r="Z160" s="521" t="s">
        <v>4</v>
      </c>
    </row>
    <row r="161" spans="2:35" ht="12.75" customHeight="1" thickBot="1" x14ac:dyDescent="0.35">
      <c r="B161" s="163"/>
      <c r="C161" s="169"/>
      <c r="D161" s="157"/>
      <c r="E161" s="157"/>
      <c r="F161" s="131" t="s">
        <v>33</v>
      </c>
      <c r="G161" s="131" t="s">
        <v>34</v>
      </c>
      <c r="H161" s="132" t="s">
        <v>35</v>
      </c>
      <c r="I161" s="131" t="s">
        <v>33</v>
      </c>
      <c r="J161" s="131" t="s">
        <v>34</v>
      </c>
      <c r="K161" s="132" t="s">
        <v>35</v>
      </c>
      <c r="L161" s="131" t="s">
        <v>33</v>
      </c>
      <c r="M161" s="131" t="s">
        <v>34</v>
      </c>
      <c r="N161" s="132" t="s">
        <v>35</v>
      </c>
      <c r="O161" s="131" t="s">
        <v>33</v>
      </c>
      <c r="P161" s="131" t="s">
        <v>34</v>
      </c>
      <c r="Q161" s="132" t="s">
        <v>35</v>
      </c>
      <c r="R161" s="131" t="s">
        <v>33</v>
      </c>
      <c r="S161" s="131" t="s">
        <v>34</v>
      </c>
      <c r="T161" s="132" t="s">
        <v>35</v>
      </c>
      <c r="U161" s="131" t="s">
        <v>33</v>
      </c>
      <c r="V161" s="131" t="s">
        <v>34</v>
      </c>
      <c r="W161" s="132" t="s">
        <v>35</v>
      </c>
      <c r="X161" s="157"/>
      <c r="Y161" s="520"/>
      <c r="Z161" s="522"/>
    </row>
    <row r="162" spans="2:35" ht="12.75" customHeight="1" thickBot="1" x14ac:dyDescent="0.35">
      <c r="B162" s="133">
        <v>1</v>
      </c>
      <c r="C162" s="142" t="s">
        <v>575</v>
      </c>
      <c r="D162" s="484">
        <v>2</v>
      </c>
      <c r="E162" s="477" t="str">
        <f>LEFT(AB162,LEN(AB162)-2)</f>
        <v>2</v>
      </c>
      <c r="F162" s="135">
        <f>IFERROR(VLOOKUP(C162,'01_RS ALCARRIA'!$F$6:$R$36,13,FALSE),"")</f>
        <v>25</v>
      </c>
      <c r="G162" s="135">
        <f>IFERROR(VLOOKUP(C162,'01_RS ALCARRIA'!$F$6:$T$36,15,FALSE),"")</f>
        <v>10</v>
      </c>
      <c r="H162" s="138">
        <f>(F162+G162)*2</f>
        <v>70</v>
      </c>
      <c r="I162" s="135">
        <f>IFERROR(VLOOKUP(C162,'02_TCT GUADAMUR'!$F$6:$R$36,13,FALSE),"")</f>
        <v>17</v>
      </c>
      <c r="J162" s="135">
        <f>IFERROR(VLOOKUP(C162,'02_TCT GUADAMUR'!$F$6:$T$36,15,FALSE),"")</f>
        <v>6</v>
      </c>
      <c r="K162" s="138">
        <f t="shared" ref="K162:K169" si="23">(I162+J162)</f>
        <v>23</v>
      </c>
      <c r="L162" s="135">
        <f>IFERROR(VLOOKUP(C162,'03_TCT MAQUEDA'!$F$6:$R$36,13,FALSE),"")</f>
        <v>17</v>
      </c>
      <c r="M162" s="135">
        <f>IFERROR(VLOOKUP(C162,'03_TCT MAQUEDA'!$F$6:$T$36,15,FALSE),"")</f>
        <v>10</v>
      </c>
      <c r="N162" s="138">
        <f>(L162+M162)</f>
        <v>27</v>
      </c>
      <c r="O162" s="135"/>
      <c r="P162" s="135"/>
      <c r="Q162" s="138"/>
      <c r="R162" s="135"/>
      <c r="S162" s="135"/>
      <c r="T162" s="138"/>
      <c r="U162" s="135"/>
      <c r="V162" s="135"/>
      <c r="W162" s="138"/>
      <c r="X162" s="139">
        <f t="shared" ref="X162:X200" si="24">H162+K162+N162+Q162+T162+W162</f>
        <v>120</v>
      </c>
      <c r="Y162" s="140" t="str">
        <f>IF(Z162&gt;=3,"Sí","No")</f>
        <v>Sí</v>
      </c>
      <c r="Z162" s="141">
        <f>COUNTA(H162,K162,N162,Q162,T162,W162)</f>
        <v>3</v>
      </c>
      <c r="AA162" s="148"/>
      <c r="AB162" s="262" t="str">
        <f>IFERROR(VLOOKUP(C162,Tabla15[[Piloto2]:[Puntos clase5]],4, FALSE), " ")</f>
        <v>2RM</v>
      </c>
    </row>
    <row r="163" spans="2:35" ht="12.75" customHeight="1" x14ac:dyDescent="0.3">
      <c r="B163" s="133">
        <v>2</v>
      </c>
      <c r="C163" s="142" t="s">
        <v>577</v>
      </c>
      <c r="D163" s="481">
        <v>2</v>
      </c>
      <c r="E163" s="483" t="str">
        <f>LEFT(AB163,LEN(AB163)-2)</f>
        <v>2</v>
      </c>
      <c r="F163" s="135">
        <f>IFERROR(VLOOKUP(C163,'01_RS ALCARRIA'!$F$6:$R$36,13,FALSE),"")</f>
        <v>20</v>
      </c>
      <c r="G163" s="135">
        <f>IFERROR(VLOOKUP(C163,'01_RS ALCARRIA'!$F$6:$T$36,15,FALSE),"")</f>
        <v>8</v>
      </c>
      <c r="H163" s="138">
        <f>(F163+G163)*2</f>
        <v>56</v>
      </c>
      <c r="I163" s="135">
        <f>IFERROR(VLOOKUP(C163,'02_TCT GUADAMUR'!$F$6:$R$36,13,FALSE),"")</f>
        <v>25</v>
      </c>
      <c r="J163" s="135">
        <f>IFERROR(VLOOKUP(C163,'02_TCT GUADAMUR'!$F$6:$T$36,15,FALSE),"")</f>
        <v>10</v>
      </c>
      <c r="K163" s="138">
        <f t="shared" si="23"/>
        <v>35</v>
      </c>
      <c r="L163" s="135">
        <f>IFERROR(VLOOKUP(C163,'03_TCT MAQUEDA'!$F$6:$R$36,13,FALSE),"")</f>
        <v>15</v>
      </c>
      <c r="M163" s="135">
        <f>IFERROR(VLOOKUP(C163,'03_TCT MAQUEDA'!$F$6:$T$36,15,FALSE),"")</f>
        <v>8</v>
      </c>
      <c r="N163" s="138">
        <f>(L163+M163)</f>
        <v>23</v>
      </c>
      <c r="O163" s="135"/>
      <c r="P163" s="135"/>
      <c r="Q163" s="138"/>
      <c r="R163" s="135"/>
      <c r="S163" s="135"/>
      <c r="T163" s="138"/>
      <c r="U163" s="135"/>
      <c r="V163" s="135"/>
      <c r="W163" s="138"/>
      <c r="X163" s="139">
        <f t="shared" si="24"/>
        <v>114</v>
      </c>
      <c r="Y163" s="140" t="str">
        <f t="shared" ref="Y163:Y192" si="25">IF(Z163&gt;=3,"Sí","No")</f>
        <v>Sí</v>
      </c>
      <c r="Z163" s="141">
        <f t="shared" ref="Z163:Z192" si="26">COUNTA(H163,K163,N163,Q163,T163,W163)</f>
        <v>3</v>
      </c>
      <c r="AA163" s="148"/>
      <c r="AB163" s="262" t="str">
        <f>IFERROR(VLOOKUP(C163,Tabla15[[Piloto2]:[Puntos clase5]],4, FALSE), " ")</f>
        <v>2RM</v>
      </c>
    </row>
    <row r="164" spans="2:35" ht="12.75" customHeight="1" x14ac:dyDescent="0.3">
      <c r="B164" s="133">
        <v>1</v>
      </c>
      <c r="C164" s="142" t="s">
        <v>590</v>
      </c>
      <c r="D164" s="486">
        <v>3</v>
      </c>
      <c r="E164" s="483" t="str">
        <f>LEFT(AB164,LEN(AB164)-2)</f>
        <v>2</v>
      </c>
      <c r="F164" s="135">
        <f>IFERROR(VLOOKUP(C164,'01_RS ALCARRIA'!$F$6:$R$36,13,FALSE),"")</f>
        <v>15</v>
      </c>
      <c r="G164" s="135">
        <f>IFERROR(VLOOKUP(C164,'01_RS ALCARRIA'!$F$6:$T$36,15,FALSE),"")</f>
        <v>10</v>
      </c>
      <c r="H164" s="138">
        <f>(F164+G164)*2</f>
        <v>50</v>
      </c>
      <c r="I164" s="135">
        <f>IFERROR(VLOOKUP(C164,'02_TCT GUADAMUR'!$F$6:$R$36,13,FALSE),"")</f>
        <v>12</v>
      </c>
      <c r="J164" s="135">
        <f>IFERROR(VLOOKUP(C164,'02_TCT GUADAMUR'!$F$6:$T$36,15,FALSE),"")</f>
        <v>10</v>
      </c>
      <c r="K164" s="138">
        <f t="shared" si="23"/>
        <v>22</v>
      </c>
      <c r="L164" s="135">
        <f>IFERROR(VLOOKUP(C164,'03_TCT MAQUEDA'!$F$6:$R$36,13,FALSE),"")</f>
        <v>8</v>
      </c>
      <c r="M164" s="135">
        <f>IFERROR(VLOOKUP(C164,'03_TCT MAQUEDA'!$F$6:$T$36,15,FALSE),"")</f>
        <v>10</v>
      </c>
      <c r="N164" s="138">
        <f>(L164+M164)</f>
        <v>18</v>
      </c>
      <c r="O164" s="135"/>
      <c r="P164" s="135"/>
      <c r="Q164" s="138"/>
      <c r="R164" s="135"/>
      <c r="S164" s="135"/>
      <c r="T164" s="138"/>
      <c r="U164" s="135"/>
      <c r="V164" s="135"/>
      <c r="W164" s="138"/>
      <c r="X164" s="139">
        <f t="shared" si="24"/>
        <v>90</v>
      </c>
      <c r="Y164" s="140" t="str">
        <f t="shared" si="25"/>
        <v>Sí</v>
      </c>
      <c r="Z164" s="141">
        <f t="shared" si="26"/>
        <v>3</v>
      </c>
      <c r="AA164" s="148"/>
      <c r="AB164" s="262" t="str">
        <f>IFERROR(VLOOKUP(C164,Tabla15[[Piloto2]:[Puntos clase5]],4, FALSE), " ")</f>
        <v>2RM</v>
      </c>
    </row>
    <row r="165" spans="2:35" ht="12.75" customHeight="1" x14ac:dyDescent="0.3">
      <c r="B165" s="133">
        <v>1</v>
      </c>
      <c r="C165" s="134" t="s">
        <v>589</v>
      </c>
      <c r="D165" s="485">
        <v>1</v>
      </c>
      <c r="E165" s="482" t="str">
        <f>LEFT(AB165,LEN(AB165)-2)</f>
        <v>4</v>
      </c>
      <c r="F165" s="135">
        <f>IFERROR(VLOOKUP(C165,'01_RS ALCARRIA'!$F$6:$R$36,13,FALSE),"")</f>
        <v>17</v>
      </c>
      <c r="G165" s="284">
        <f>IFERROR(VLOOKUP(C165,'01_RS ALCARRIA'!$F$6:$T$36,15,FALSE),"")/2</f>
        <v>5</v>
      </c>
      <c r="H165" s="138">
        <f>(F165+G165)*2</f>
        <v>44</v>
      </c>
      <c r="I165" s="135">
        <f>IFERROR(VLOOKUP(C165,'02_TCT GUADAMUR'!$F$6:$R$36,13,FALSE),"")</f>
        <v>15</v>
      </c>
      <c r="J165" s="135">
        <f>IFERROR(VLOOKUP(C165,'02_TCT GUADAMUR'!$F$6:$T$36,15,FALSE),"")</f>
        <v>10</v>
      </c>
      <c r="K165" s="138">
        <f t="shared" si="23"/>
        <v>25</v>
      </c>
      <c r="L165" s="135">
        <v>0</v>
      </c>
      <c r="M165" s="135">
        <v>0</v>
      </c>
      <c r="N165" s="138">
        <f>(L165+M165)</f>
        <v>0</v>
      </c>
      <c r="O165" s="135"/>
      <c r="P165" s="135"/>
      <c r="Q165" s="138"/>
      <c r="R165" s="135"/>
      <c r="S165" s="135"/>
      <c r="T165" s="138"/>
      <c r="U165" s="135"/>
      <c r="V165" s="135"/>
      <c r="W165" s="138"/>
      <c r="X165" s="139">
        <f t="shared" si="24"/>
        <v>69</v>
      </c>
      <c r="Y165" s="140" t="str">
        <f t="shared" si="25"/>
        <v>Sí</v>
      </c>
      <c r="Z165" s="141">
        <f t="shared" si="26"/>
        <v>3</v>
      </c>
      <c r="AA165" s="148"/>
      <c r="AB165" s="262" t="str">
        <f>IFERROR(VLOOKUP(C165,Tabla15[[Piloto2]:[Puntos clase5]],4, FALSE), " ")</f>
        <v>4RM</v>
      </c>
    </row>
    <row r="166" spans="2:35" ht="12.75" customHeight="1" x14ac:dyDescent="0.3">
      <c r="B166" s="133">
        <v>1</v>
      </c>
      <c r="C166" s="142" t="s">
        <v>598</v>
      </c>
      <c r="D166" s="486">
        <v>5</v>
      </c>
      <c r="E166" s="482" t="str">
        <f>LEFT(AB166,LEN(AB166)-2)</f>
        <v>2</v>
      </c>
      <c r="F166" s="135">
        <f>IFERROR(VLOOKUP(C166,'01_RS ALCARRIA'!$F$6:$R$36,13,FALSE),"")</f>
        <v>6</v>
      </c>
      <c r="G166" s="135">
        <f>IFERROR(VLOOKUP(C166,'01_RS ALCARRIA'!$F$6:$T$36,15,FALSE),"")</f>
        <v>10</v>
      </c>
      <c r="H166" s="138">
        <f>(F166+G166)*2</f>
        <v>32</v>
      </c>
      <c r="I166" s="135">
        <f>IFERROR(VLOOKUP(C166,'02_TCT GUADAMUR'!$F$6:$R$36,13,FALSE),"")</f>
        <v>10</v>
      </c>
      <c r="J166" s="135">
        <f>IFERROR(VLOOKUP(C166,'02_TCT GUADAMUR'!$F$6:$T$36,15,FALSE),"")</f>
        <v>10</v>
      </c>
      <c r="K166" s="138">
        <f t="shared" si="23"/>
        <v>20</v>
      </c>
      <c r="L166" s="135"/>
      <c r="M166" s="135"/>
      <c r="N166" s="138"/>
      <c r="O166" s="135"/>
      <c r="P166" s="135"/>
      <c r="Q166" s="138"/>
      <c r="R166" s="135"/>
      <c r="S166" s="135"/>
      <c r="T166" s="138"/>
      <c r="U166" s="135"/>
      <c r="V166" s="135"/>
      <c r="W166" s="138"/>
      <c r="X166" s="139">
        <f t="shared" si="24"/>
        <v>52</v>
      </c>
      <c r="Y166" s="140" t="str">
        <f t="shared" si="25"/>
        <v>No</v>
      </c>
      <c r="Z166" s="141">
        <f t="shared" si="26"/>
        <v>2</v>
      </c>
      <c r="AA166" s="148"/>
      <c r="AB166" s="262" t="str">
        <f>IFERROR(VLOOKUP(C166,Tabla15[[Piloto2]:[Puntos clase5]],4, FALSE), " ")</f>
        <v>2RM</v>
      </c>
    </row>
    <row r="167" spans="2:35" ht="12.75" customHeight="1" x14ac:dyDescent="0.3">
      <c r="B167" s="133">
        <v>3</v>
      </c>
      <c r="C167" s="142" t="s">
        <v>669</v>
      </c>
      <c r="D167" s="482">
        <v>2</v>
      </c>
      <c r="E167" s="482">
        <v>2</v>
      </c>
      <c r="F167" s="135"/>
      <c r="G167" s="135"/>
      <c r="H167" s="138"/>
      <c r="I167" s="135">
        <f>IFERROR(VLOOKUP(C167,'02_TCT GUADAMUR'!$F$6:$R$36,13,FALSE),"")</f>
        <v>20</v>
      </c>
      <c r="J167" s="135">
        <f>IFERROR(VLOOKUP(C167,'02_TCT GUADAMUR'!$F$6:$T$36,15,FALSE),"")</f>
        <v>8</v>
      </c>
      <c r="K167" s="138">
        <f t="shared" si="23"/>
        <v>28</v>
      </c>
      <c r="L167" s="135">
        <f>IFERROR(VLOOKUP(C167,'03_TCT MAQUEDA'!$F$6:$R$36,13,FALSE),"")</f>
        <v>12</v>
      </c>
      <c r="M167" s="135">
        <f>IFERROR(VLOOKUP(C167,'03_TCT MAQUEDA'!$F$6:$T$36,15,FALSE),"")</f>
        <v>6</v>
      </c>
      <c r="N167" s="138">
        <f>(L167+M167)</f>
        <v>18</v>
      </c>
      <c r="O167" s="135"/>
      <c r="P167" s="135"/>
      <c r="Q167" s="138"/>
      <c r="R167" s="135"/>
      <c r="S167" s="135"/>
      <c r="T167" s="138"/>
      <c r="U167" s="135"/>
      <c r="V167" s="135"/>
      <c r="W167" s="138"/>
      <c r="X167" s="139">
        <f t="shared" si="24"/>
        <v>46</v>
      </c>
      <c r="Y167" s="140" t="str">
        <f t="shared" si="25"/>
        <v>No</v>
      </c>
      <c r="Z167" s="141">
        <f t="shared" si="26"/>
        <v>2</v>
      </c>
      <c r="AA167" s="148"/>
      <c r="AB167" s="262" t="str">
        <f>IFERROR(VLOOKUP(C167,Tabla15[[Piloto2]:[Puntos clase5]],4, FALSE), " ")</f>
        <v xml:space="preserve"> </v>
      </c>
    </row>
    <row r="168" spans="2:35" ht="12.75" customHeight="1" x14ac:dyDescent="0.3">
      <c r="B168" s="133">
        <v>2</v>
      </c>
      <c r="C168" s="142" t="s">
        <v>596</v>
      </c>
      <c r="D168" s="482">
        <v>3</v>
      </c>
      <c r="E168" s="482" t="str">
        <f>LEFT(AB168,LEN(AB168)-2)</f>
        <v>2</v>
      </c>
      <c r="F168" s="135">
        <f>IFERROR(VLOOKUP(C168,'01_RS ALCARRIA'!$F$6:$R$36,13,FALSE),"")</f>
        <v>8</v>
      </c>
      <c r="G168" s="135">
        <f>IFERROR(VLOOKUP(C168,'01_RS ALCARRIA'!$F$6:$T$36,15,FALSE),"")</f>
        <v>5</v>
      </c>
      <c r="H168" s="138">
        <f>(F168+G168)*2</f>
        <v>26</v>
      </c>
      <c r="I168" s="135">
        <f>IFERROR(VLOOKUP(C168,'02_TCT GUADAMUR'!$F$6:$R$36,13,FALSE),"")</f>
        <v>4</v>
      </c>
      <c r="J168" s="135">
        <f>IFERROR(VLOOKUP(C168,'02_TCT GUADAMUR'!$F$6:$T$36,15,FALSE),"")</f>
        <v>6</v>
      </c>
      <c r="K168" s="138">
        <f t="shared" si="23"/>
        <v>10</v>
      </c>
      <c r="L168" s="135">
        <f>IFERROR(VLOOKUP(C168,'03_TCT MAQUEDA'!$F$6:$R$36,13,FALSE),"")</f>
        <v>3</v>
      </c>
      <c r="M168" s="135">
        <f>IFERROR(VLOOKUP(C168,'03_TCT MAQUEDA'!$F$6:$T$36,15,FALSE),"")</f>
        <v>6</v>
      </c>
      <c r="N168" s="138">
        <f>(L168+M168)</f>
        <v>9</v>
      </c>
      <c r="O168" s="135"/>
      <c r="P168" s="135"/>
      <c r="Q168" s="138"/>
      <c r="R168" s="135"/>
      <c r="S168" s="135"/>
      <c r="T168" s="138"/>
      <c r="U168" s="135"/>
      <c r="V168" s="135"/>
      <c r="W168" s="138"/>
      <c r="X168" s="139">
        <f t="shared" si="24"/>
        <v>45</v>
      </c>
      <c r="Y168" s="140" t="str">
        <f t="shared" si="25"/>
        <v>Sí</v>
      </c>
      <c r="Z168" s="141">
        <f t="shared" si="26"/>
        <v>3</v>
      </c>
      <c r="AA168" s="148"/>
      <c r="AB168" s="262" t="str">
        <f>IFERROR(VLOOKUP(C168,Tabla15[[Piloto2]:[Puntos clase5]],4, FALSE), " ")</f>
        <v>2RM</v>
      </c>
    </row>
    <row r="169" spans="2:35" ht="12.75" customHeight="1" x14ac:dyDescent="0.3">
      <c r="B169" s="133">
        <v>3</v>
      </c>
      <c r="C169" s="142" t="s">
        <v>457</v>
      </c>
      <c r="D169" s="482">
        <v>3</v>
      </c>
      <c r="E169" s="482" t="str">
        <f>LEFT(AB169,LEN(AB169)-2)</f>
        <v>2</v>
      </c>
      <c r="F169" s="135">
        <f>IFERROR(VLOOKUP(C169,'01_RS ALCARRIA'!$F$6:$R$36,13,FALSE),"")</f>
        <v>12</v>
      </c>
      <c r="G169" s="135">
        <f>IFERROR(VLOOKUP(C169,'01_RS ALCARRIA'!$F$6:$T$36,15,FALSE),"")</f>
        <v>8</v>
      </c>
      <c r="H169" s="138">
        <f>(F169+G169)*2</f>
        <v>40</v>
      </c>
      <c r="I169" s="135">
        <v>0</v>
      </c>
      <c r="J169" s="135">
        <v>0</v>
      </c>
      <c r="K169" s="138">
        <f t="shared" si="23"/>
        <v>0</v>
      </c>
      <c r="L169" s="135"/>
      <c r="M169" s="135"/>
      <c r="N169" s="138"/>
      <c r="O169" s="135"/>
      <c r="P169" s="135"/>
      <c r="Q169" s="138"/>
      <c r="R169" s="135"/>
      <c r="S169" s="135"/>
      <c r="T169" s="138"/>
      <c r="U169" s="135"/>
      <c r="V169" s="135"/>
      <c r="W169" s="138"/>
      <c r="X169" s="139">
        <f t="shared" si="24"/>
        <v>40</v>
      </c>
      <c r="Y169" s="140" t="str">
        <f t="shared" si="25"/>
        <v>No</v>
      </c>
      <c r="Z169" s="141">
        <f t="shared" si="26"/>
        <v>2</v>
      </c>
      <c r="AA169" s="148"/>
      <c r="AB169" s="262" t="str">
        <f>IFERROR(VLOOKUP(C169,Tabla15[[Piloto2]:[Puntos clase5]],4, FALSE), " ")</f>
        <v>2RM</v>
      </c>
    </row>
    <row r="170" spans="2:35" ht="12.75" customHeight="1" x14ac:dyDescent="0.3">
      <c r="B170" s="133">
        <v>2</v>
      </c>
      <c r="C170" s="142" t="s">
        <v>696</v>
      </c>
      <c r="D170" s="482">
        <v>1</v>
      </c>
      <c r="E170" s="482">
        <v>4</v>
      </c>
      <c r="F170" s="135"/>
      <c r="G170" s="135"/>
      <c r="H170" s="138"/>
      <c r="I170" s="135"/>
      <c r="J170" s="135"/>
      <c r="K170" s="138"/>
      <c r="L170" s="135">
        <f>IFERROR(VLOOKUP(C170,'03_TCT MAQUEDA'!$F$6:$R$36,13,FALSE),"")</f>
        <v>25</v>
      </c>
      <c r="M170" s="135">
        <f>IFERROR(VLOOKUP(C170,'03_TCT MAQUEDA'!$F$6:$T$36,15,FALSE),"")</f>
        <v>10</v>
      </c>
      <c r="N170" s="138">
        <f>(L170+M170)</f>
        <v>35</v>
      </c>
      <c r="O170" s="135"/>
      <c r="P170" s="135"/>
      <c r="Q170" s="138"/>
      <c r="R170" s="135"/>
      <c r="S170" s="135"/>
      <c r="T170" s="138"/>
      <c r="U170" s="135"/>
      <c r="V170" s="135"/>
      <c r="W170" s="138"/>
      <c r="X170" s="139">
        <f t="shared" si="24"/>
        <v>35</v>
      </c>
      <c r="Y170" s="140" t="str">
        <f t="shared" si="25"/>
        <v>No</v>
      </c>
      <c r="Z170" s="141">
        <f t="shared" si="26"/>
        <v>1</v>
      </c>
      <c r="AA170" s="148"/>
      <c r="AB170" s="262" t="str">
        <f>IFERROR(VLOOKUP(C170,Tabla15[[Piloto2]:[Puntos clase5]],4, FALSE), " ")</f>
        <v xml:space="preserve"> </v>
      </c>
    </row>
    <row r="171" spans="2:35" ht="12.75" customHeight="1" x14ac:dyDescent="0.3">
      <c r="B171" s="133">
        <v>4</v>
      </c>
      <c r="C171" s="142" t="s">
        <v>594</v>
      </c>
      <c r="D171" s="482">
        <v>3</v>
      </c>
      <c r="E171" s="482" t="str">
        <f>LEFT(AB171,LEN(AB171)-2)</f>
        <v>2</v>
      </c>
      <c r="F171" s="135">
        <f>IFERROR(VLOOKUP(C171,'01_RS ALCARRIA'!$F$6:$R$36,13,FALSE),"")</f>
        <v>10</v>
      </c>
      <c r="G171" s="135">
        <f>IFERROR(VLOOKUP(C171,'01_RS ALCARRIA'!$F$6:$T$36,15,FALSE),"")</f>
        <v>6</v>
      </c>
      <c r="H171" s="138">
        <f>(F171+G171)*2</f>
        <v>32</v>
      </c>
      <c r="I171" s="135"/>
      <c r="J171" s="135"/>
      <c r="K171" s="138"/>
      <c r="L171" s="135"/>
      <c r="M171" s="135"/>
      <c r="N171" s="138"/>
      <c r="O171" s="135"/>
      <c r="P171" s="135"/>
      <c r="Q171" s="138"/>
      <c r="R171" s="135"/>
      <c r="S171" s="135"/>
      <c r="T171" s="138"/>
      <c r="U171" s="135"/>
      <c r="V171" s="135"/>
      <c r="W171" s="138"/>
      <c r="X171" s="139">
        <f t="shared" si="24"/>
        <v>32</v>
      </c>
      <c r="Y171" s="140" t="str">
        <f t="shared" si="25"/>
        <v>No</v>
      </c>
      <c r="Z171" s="141">
        <f t="shared" si="26"/>
        <v>1</v>
      </c>
      <c r="AA171" s="148"/>
      <c r="AB171" s="262" t="str">
        <f>IFERROR(VLOOKUP(C171,Tabla15[[Piloto2]:[Puntos clase5]],4, FALSE), " ")</f>
        <v>2RM</v>
      </c>
    </row>
    <row r="172" spans="2:35" ht="12.75" customHeight="1" x14ac:dyDescent="0.3">
      <c r="B172" s="133">
        <v>3</v>
      </c>
      <c r="C172" s="142" t="s">
        <v>293</v>
      </c>
      <c r="D172" s="482">
        <v>1</v>
      </c>
      <c r="E172" s="482">
        <v>4</v>
      </c>
      <c r="F172" s="135"/>
      <c r="G172" s="135"/>
      <c r="H172" s="138"/>
      <c r="I172" s="135"/>
      <c r="J172" s="135"/>
      <c r="K172" s="138"/>
      <c r="L172" s="135">
        <f>IFERROR(VLOOKUP(C172,'03_TCT MAQUEDA'!$F$6:$R$36,13,FALSE),"")</f>
        <v>20</v>
      </c>
      <c r="M172" s="135">
        <f>IFERROR(VLOOKUP(C172,'03_TCT MAQUEDA'!$F$6:$T$36,15,FALSE),"")</f>
        <v>8</v>
      </c>
      <c r="N172" s="138">
        <f>(L172+M172)</f>
        <v>28</v>
      </c>
      <c r="O172" s="135"/>
      <c r="P172" s="135"/>
      <c r="Q172" s="138"/>
      <c r="R172" s="135"/>
      <c r="S172" s="135"/>
      <c r="T172" s="138"/>
      <c r="U172" s="135"/>
      <c r="V172" s="135"/>
      <c r="W172" s="138"/>
      <c r="X172" s="139">
        <f t="shared" si="24"/>
        <v>28</v>
      </c>
      <c r="Y172" s="140" t="str">
        <f t="shared" si="25"/>
        <v>No</v>
      </c>
      <c r="Z172" s="141">
        <f t="shared" si="26"/>
        <v>1</v>
      </c>
      <c r="AA172" s="148"/>
      <c r="AB172" s="262" t="str">
        <f>IFERROR(VLOOKUP(C172,Tabla15[[Piloto2]:[Puntos clase5]],4, FALSE), " ")</f>
        <v xml:space="preserve"> </v>
      </c>
      <c r="AC172" s="232" t="s">
        <v>271</v>
      </c>
      <c r="AD172" s="229"/>
      <c r="AE172" s="229"/>
      <c r="AF172" s="229"/>
      <c r="AG172" s="229"/>
      <c r="AH172" s="229"/>
      <c r="AI172" s="230"/>
    </row>
    <row r="173" spans="2:35" ht="12.75" customHeight="1" x14ac:dyDescent="0.3">
      <c r="B173" s="133">
        <v>5</v>
      </c>
      <c r="C173" s="142" t="s">
        <v>611</v>
      </c>
      <c r="D173" s="482">
        <v>3</v>
      </c>
      <c r="E173" s="482" t="str">
        <f>LEFT(AB173,LEN(AB173)-2)</f>
        <v>2</v>
      </c>
      <c r="F173" s="135">
        <f>IFERROR(VLOOKUP(C173,'01_RS ALCARRIA'!$F$6:$R$36,13,FALSE),"")</f>
        <v>2</v>
      </c>
      <c r="G173" s="135">
        <f>IFERROR(VLOOKUP(C173,'01_RS ALCARRIA'!$F$6:$T$36,15,FALSE),"")</f>
        <v>0</v>
      </c>
      <c r="H173" s="138">
        <f>(F173+G173)*2</f>
        <v>4</v>
      </c>
      <c r="I173" s="135">
        <f>IFERROR(VLOOKUP(C173,'02_TCT GUADAMUR'!$F$6:$R$36,13,FALSE),"")</f>
        <v>1</v>
      </c>
      <c r="J173" s="135">
        <f>IFERROR(VLOOKUP(C173,'02_TCT GUADAMUR'!$F$6:$T$36,15,FALSE),"")</f>
        <v>3</v>
      </c>
      <c r="K173" s="138">
        <f>(I173+J173)</f>
        <v>4</v>
      </c>
      <c r="L173" s="135">
        <f>IFERROR(VLOOKUP(C173,'03_TCT MAQUEDA'!$F$6:$R$36,13,FALSE),"")</f>
        <v>5</v>
      </c>
      <c r="M173" s="135">
        <f>IFERROR(VLOOKUP(C173,'03_TCT MAQUEDA'!$F$6:$T$36,15,FALSE),"")</f>
        <v>8</v>
      </c>
      <c r="N173" s="138">
        <f>(L173+M173)</f>
        <v>13</v>
      </c>
      <c r="O173" s="135"/>
      <c r="P173" s="135"/>
      <c r="Q173" s="138"/>
      <c r="R173" s="135"/>
      <c r="S173" s="135"/>
      <c r="T173" s="138"/>
      <c r="U173" s="135"/>
      <c r="V173" s="135"/>
      <c r="W173" s="138"/>
      <c r="X173" s="139">
        <f t="shared" si="24"/>
        <v>21</v>
      </c>
      <c r="Y173" s="140" t="str">
        <f t="shared" si="25"/>
        <v>Sí</v>
      </c>
      <c r="Z173" s="141">
        <f t="shared" si="26"/>
        <v>3</v>
      </c>
      <c r="AA173" s="148"/>
      <c r="AB173" s="262" t="str">
        <f>IFERROR(VLOOKUP(C173,Tabla15[[Piloto2]:[Puntos clase5]],4, FALSE), " ")</f>
        <v>2RM</v>
      </c>
      <c r="AC173" s="8" t="s">
        <v>272</v>
      </c>
      <c r="AD173" s="8">
        <v>1</v>
      </c>
      <c r="AE173" s="8">
        <v>2</v>
      </c>
      <c r="AF173" s="8">
        <v>3</v>
      </c>
      <c r="AG173" s="8">
        <v>4</v>
      </c>
      <c r="AH173" s="8">
        <v>5</v>
      </c>
      <c r="AI173" s="8" t="s">
        <v>9</v>
      </c>
    </row>
    <row r="174" spans="2:35" ht="12.75" customHeight="1" x14ac:dyDescent="0.3">
      <c r="B174" s="133">
        <v>2</v>
      </c>
      <c r="C174" s="142" t="s">
        <v>631</v>
      </c>
      <c r="D174" s="482">
        <v>5</v>
      </c>
      <c r="E174" s="482" t="str">
        <f>LEFT(AB174,LEN(AB174)-2)</f>
        <v>2</v>
      </c>
      <c r="F174" s="135">
        <v>0</v>
      </c>
      <c r="G174" s="135">
        <v>0</v>
      </c>
      <c r="H174" s="138">
        <f>(F174+G174)*2</f>
        <v>0</v>
      </c>
      <c r="I174" s="135">
        <f>IFERROR(VLOOKUP(C174,'02_TCT GUADAMUR'!$F$6:$R$36,13,FALSE),"")</f>
        <v>0</v>
      </c>
      <c r="J174" s="135">
        <f>IFERROR(VLOOKUP(C174,'02_TCT GUADAMUR'!$F$6:$T$36,15,FALSE),"")</f>
        <v>6</v>
      </c>
      <c r="K174" s="138">
        <f>(I174+J174)</f>
        <v>6</v>
      </c>
      <c r="L174" s="135">
        <f>IFERROR(VLOOKUP(C174,'03_TCT MAQUEDA'!$F$6:$R$36,13,FALSE),"")</f>
        <v>10</v>
      </c>
      <c r="M174" s="284">
        <f>IFERROR(VLOOKUP(C174,'03_TCT MAQUEDA'!$F$6:$T$36,15,FALSE),"")/2</f>
        <v>5</v>
      </c>
      <c r="N174" s="138">
        <f>(L174+M174)</f>
        <v>15</v>
      </c>
      <c r="O174" s="135"/>
      <c r="P174" s="135"/>
      <c r="Q174" s="138"/>
      <c r="R174" s="135"/>
      <c r="S174" s="135"/>
      <c r="T174" s="138"/>
      <c r="U174" s="135"/>
      <c r="V174" s="135"/>
      <c r="W174" s="138"/>
      <c r="X174" s="139">
        <f t="shared" si="24"/>
        <v>21</v>
      </c>
      <c r="Y174" s="140" t="str">
        <f t="shared" si="25"/>
        <v>Sí</v>
      </c>
      <c r="Z174" s="141">
        <f t="shared" si="26"/>
        <v>3</v>
      </c>
      <c r="AA174" s="148"/>
      <c r="AB174" s="262" t="str">
        <f>IFERROR(VLOOKUP(C174,Tabla15[[Piloto2]:[Puntos clase5]],4, FALSE), " ")</f>
        <v>2RM</v>
      </c>
      <c r="AC174" s="8">
        <f>COUNTA(C58:C77)</f>
        <v>20</v>
      </c>
      <c r="AD174" s="8">
        <f>COUNTIF($D$6:$D$25,AD173)</f>
        <v>4</v>
      </c>
      <c r="AE174" s="8">
        <f>COUNTIF($D$6:$D$25,AE173)</f>
        <v>4</v>
      </c>
      <c r="AF174" s="8">
        <f>COUNTIF($D$6:$D$25,AF173)</f>
        <v>6</v>
      </c>
      <c r="AG174" s="8">
        <f>COUNTIF($D$6:$D$25,AG173)</f>
        <v>4</v>
      </c>
      <c r="AH174" s="8">
        <f>COUNTIF($D$6:$D$25,AH173)</f>
        <v>2</v>
      </c>
      <c r="AI174" s="231">
        <f>SUM(AD174:AH174)</f>
        <v>20</v>
      </c>
    </row>
    <row r="175" spans="2:35" ht="12.75" customHeight="1" x14ac:dyDescent="0.3">
      <c r="B175" s="133">
        <v>1</v>
      </c>
      <c r="C175" s="134" t="s">
        <v>625</v>
      </c>
      <c r="D175" s="486">
        <v>4</v>
      </c>
      <c r="E175" s="482" t="str">
        <f>LEFT(AB175,LEN(AB175)-2)</f>
        <v>2</v>
      </c>
      <c r="F175" s="135">
        <f>IFERROR(VLOOKUP(C175,'01_RS ALCARRIA'!$F$6:$R$36,13,FALSE),"")</f>
        <v>0</v>
      </c>
      <c r="G175" s="284">
        <f>IFERROR(VLOOKUP(C175,'01_RS ALCARRIA'!$F$6:$T$36,15,FALSE),"")/2</f>
        <v>5</v>
      </c>
      <c r="H175" s="138">
        <f>(F175+G175)*2</f>
        <v>10</v>
      </c>
      <c r="I175" s="135">
        <f>IFERROR(VLOOKUP(C175,'02_TCT GUADAMUR'!$F$6:$R$36,13,FALSE),"")</f>
        <v>2</v>
      </c>
      <c r="J175" s="135">
        <f>IFERROR(VLOOKUP(C175,'02_TCT GUADAMUR'!$F$6:$T$36,15,FALSE),"")</f>
        <v>8</v>
      </c>
      <c r="K175" s="138">
        <f>(I175+J175)</f>
        <v>10</v>
      </c>
      <c r="L175" s="135"/>
      <c r="M175" s="135"/>
      <c r="N175" s="138"/>
      <c r="O175" s="135"/>
      <c r="P175" s="135"/>
      <c r="Q175" s="138"/>
      <c r="R175" s="135"/>
      <c r="S175" s="135"/>
      <c r="T175" s="138"/>
      <c r="U175" s="135"/>
      <c r="V175" s="135"/>
      <c r="W175" s="138"/>
      <c r="X175" s="139">
        <f t="shared" si="24"/>
        <v>20</v>
      </c>
      <c r="Y175" s="140" t="str">
        <f t="shared" si="25"/>
        <v>No</v>
      </c>
      <c r="Z175" s="141">
        <f t="shared" si="26"/>
        <v>2</v>
      </c>
      <c r="AA175" s="148"/>
      <c r="AB175" s="262" t="str">
        <f>IFERROR(VLOOKUP(C175,Tabla15[[Piloto2]:[Puntos clase5]],4, FALSE), " ")</f>
        <v>2RM</v>
      </c>
    </row>
    <row r="176" spans="2:35" ht="12.75" customHeight="1" x14ac:dyDescent="0.3">
      <c r="B176" s="133">
        <v>2</v>
      </c>
      <c r="C176" s="142" t="s">
        <v>670</v>
      </c>
      <c r="D176" s="482">
        <v>4</v>
      </c>
      <c r="E176" s="482">
        <v>2</v>
      </c>
      <c r="F176" s="135"/>
      <c r="G176" s="135"/>
      <c r="H176" s="138"/>
      <c r="I176" s="135">
        <f>IFERROR(VLOOKUP(C176,'02_TCT GUADAMUR'!$F$6:$R$36,13,FALSE),"")</f>
        <v>8</v>
      </c>
      <c r="J176" s="135">
        <f>IFERROR(VLOOKUP(C176,'02_TCT GUADAMUR'!$F$6:$T$36,15,FALSE),"")</f>
        <v>10</v>
      </c>
      <c r="K176" s="138">
        <f>(I176+J176)</f>
        <v>18</v>
      </c>
      <c r="L176" s="135"/>
      <c r="M176" s="135"/>
      <c r="N176" s="138"/>
      <c r="O176" s="135"/>
      <c r="P176" s="135"/>
      <c r="Q176" s="138"/>
      <c r="R176" s="135"/>
      <c r="S176" s="135"/>
      <c r="T176" s="138"/>
      <c r="U176" s="135"/>
      <c r="V176" s="135"/>
      <c r="W176" s="138"/>
      <c r="X176" s="139">
        <f t="shared" si="24"/>
        <v>18</v>
      </c>
      <c r="Y176" s="140" t="str">
        <f t="shared" si="25"/>
        <v>No</v>
      </c>
      <c r="Z176" s="141">
        <f t="shared" si="26"/>
        <v>1</v>
      </c>
      <c r="AA176" s="7"/>
      <c r="AB176" s="262" t="str">
        <f>IFERROR(VLOOKUP(C176,Tabla15[[Piloto2]:[Puntos clase5]],4, FALSE), " ")</f>
        <v xml:space="preserve"> </v>
      </c>
      <c r="AC176" s="6"/>
    </row>
    <row r="177" spans="2:39" ht="12.75" customHeight="1" x14ac:dyDescent="0.3">
      <c r="B177" s="133">
        <v>6</v>
      </c>
      <c r="C177" s="142" t="s">
        <v>605</v>
      </c>
      <c r="D177" s="482">
        <v>3</v>
      </c>
      <c r="E177" s="482" t="str">
        <f>LEFT(AB177,LEN(AB177)-2)</f>
        <v>2</v>
      </c>
      <c r="F177" s="135">
        <f>IFERROR(VLOOKUP(C177,'01_RS ALCARRIA'!$F$6:$R$36,13,FALSE),"")</f>
        <v>5</v>
      </c>
      <c r="G177" s="135">
        <f>IFERROR(VLOOKUP(C177,'01_RS ALCARRIA'!$F$6:$T$36,15,FALSE),"")</f>
        <v>3</v>
      </c>
      <c r="H177" s="138">
        <f>(F177+G177)*2</f>
        <v>16</v>
      </c>
      <c r="I177" s="135">
        <f>IFERROR(VLOOKUP(C177,'02_TCT GUADAMUR'!$F$6:$R$36,13,FALSE),"")</f>
        <v>0</v>
      </c>
      <c r="J177" s="135">
        <f>IFERROR(VLOOKUP(C177,'02_TCT GUADAMUR'!$F$6:$T$36,15,FALSE),"")</f>
        <v>1</v>
      </c>
      <c r="K177" s="138">
        <f>(I177+J177)</f>
        <v>1</v>
      </c>
      <c r="L177" s="135">
        <v>0</v>
      </c>
      <c r="M177" s="135">
        <v>0</v>
      </c>
      <c r="N177" s="138">
        <f>(L177+M177)</f>
        <v>0</v>
      </c>
      <c r="O177" s="135"/>
      <c r="P177" s="135"/>
      <c r="Q177" s="138"/>
      <c r="R177" s="135"/>
      <c r="S177" s="135"/>
      <c r="T177" s="138"/>
      <c r="U177" s="135"/>
      <c r="V177" s="135"/>
      <c r="W177" s="138"/>
      <c r="X177" s="139">
        <f t="shared" si="24"/>
        <v>17</v>
      </c>
      <c r="Y177" s="140" t="str">
        <f t="shared" si="25"/>
        <v>Sí</v>
      </c>
      <c r="Z177" s="141">
        <f t="shared" si="26"/>
        <v>3</v>
      </c>
      <c r="AB177" s="262" t="str">
        <f>IFERROR(VLOOKUP(C177,Tabla15[[Piloto2]:[Puntos clase5]],4, FALSE), " ")</f>
        <v>2RM</v>
      </c>
      <c r="AC177" s="2"/>
    </row>
    <row r="178" spans="2:39" ht="12.75" customHeight="1" x14ac:dyDescent="0.3">
      <c r="B178" s="133">
        <v>3</v>
      </c>
      <c r="C178" s="134" t="s">
        <v>638</v>
      </c>
      <c r="D178" s="482">
        <v>4</v>
      </c>
      <c r="E178" s="482" t="str">
        <f>LEFT(AB178,LEN(AB178)-2)</f>
        <v>2</v>
      </c>
      <c r="F178" s="135">
        <v>0</v>
      </c>
      <c r="G178" s="135">
        <v>0</v>
      </c>
      <c r="H178" s="138">
        <f>(F178+G178)*2</f>
        <v>0</v>
      </c>
      <c r="I178" s="135"/>
      <c r="J178" s="135"/>
      <c r="K178" s="138"/>
      <c r="L178" s="135">
        <f>IFERROR(VLOOKUP(C178,'03_TCT MAQUEDA'!$F$6:$R$36,13,FALSE),"")</f>
        <v>6</v>
      </c>
      <c r="M178" s="135">
        <f>IFERROR(VLOOKUP(C178,'03_TCT MAQUEDA'!$F$6:$T$36,15,FALSE),"")</f>
        <v>10</v>
      </c>
      <c r="N178" s="138">
        <f>(L178+M178)</f>
        <v>16</v>
      </c>
      <c r="O178" s="135"/>
      <c r="P178" s="135"/>
      <c r="Q178" s="138"/>
      <c r="R178" s="135"/>
      <c r="S178" s="135"/>
      <c r="T178" s="138"/>
      <c r="U178" s="135"/>
      <c r="V178" s="135"/>
      <c r="W178" s="138"/>
      <c r="X178" s="139">
        <f t="shared" si="24"/>
        <v>16</v>
      </c>
      <c r="Y178" s="140" t="str">
        <f t="shared" si="25"/>
        <v>No</v>
      </c>
      <c r="Z178" s="141">
        <f t="shared" si="26"/>
        <v>2</v>
      </c>
      <c r="AA178" s="121"/>
      <c r="AB178" s="262" t="str">
        <f>IFERROR(VLOOKUP(C178,Tabla15[[Piloto2]:[Puntos clase5]],4, FALSE), " ")</f>
        <v>2RM</v>
      </c>
      <c r="AC178" s="8" t="s">
        <v>8</v>
      </c>
      <c r="AD178" s="8">
        <v>1</v>
      </c>
      <c r="AE178" s="8">
        <v>2</v>
      </c>
      <c r="AF178" s="8">
        <v>3</v>
      </c>
      <c r="AG178" s="8">
        <v>4</v>
      </c>
      <c r="AH178" s="8">
        <v>5</v>
      </c>
      <c r="AI178" s="8"/>
      <c r="AJ178" s="8"/>
      <c r="AK178" s="8"/>
      <c r="AL178" s="8"/>
      <c r="AM178" s="8" t="s">
        <v>9</v>
      </c>
    </row>
    <row r="179" spans="2:39" ht="12.75" customHeight="1" x14ac:dyDescent="0.3">
      <c r="B179" s="133">
        <v>7</v>
      </c>
      <c r="C179" s="142" t="s">
        <v>672</v>
      </c>
      <c r="D179" s="482">
        <v>3</v>
      </c>
      <c r="E179" s="482">
        <v>2</v>
      </c>
      <c r="F179" s="135"/>
      <c r="G179" s="135"/>
      <c r="H179" s="138"/>
      <c r="I179" s="135">
        <f>IFERROR(VLOOKUP(C179,'02_TCT GUADAMUR'!$F$6:$R$36,13,FALSE),"")</f>
        <v>6</v>
      </c>
      <c r="J179" s="135">
        <f>IFERROR(VLOOKUP(C179,'02_TCT GUADAMUR'!$F$6:$T$36,15,FALSE),"")</f>
        <v>8</v>
      </c>
      <c r="K179" s="138">
        <f>(I179+J179)</f>
        <v>14</v>
      </c>
      <c r="L179" s="135">
        <v>0</v>
      </c>
      <c r="M179" s="135">
        <v>0</v>
      </c>
      <c r="N179" s="138">
        <f>(L179+M179)</f>
        <v>0</v>
      </c>
      <c r="O179" s="135"/>
      <c r="P179" s="135"/>
      <c r="Q179" s="138"/>
      <c r="R179" s="135"/>
      <c r="S179" s="135"/>
      <c r="T179" s="138"/>
      <c r="U179" s="135"/>
      <c r="V179" s="135"/>
      <c r="W179" s="138"/>
      <c r="X179" s="139">
        <f t="shared" si="24"/>
        <v>14</v>
      </c>
      <c r="Y179" s="140" t="str">
        <f t="shared" si="25"/>
        <v>No</v>
      </c>
      <c r="Z179" s="141">
        <f t="shared" si="26"/>
        <v>2</v>
      </c>
      <c r="AA179" s="5"/>
      <c r="AB179" s="262" t="str">
        <f>IFERROR(VLOOKUP(C179,Tabla15[[Piloto2]:[Puntos clase5]],4, FALSE), " ")</f>
        <v xml:space="preserve"> </v>
      </c>
      <c r="AC179" s="8">
        <f>COUNTA(C58:C77)+COUNTA(Z285:Z287)+COUNTA(Z311:Z312)+COUNTA(Z333:Z334)</f>
        <v>24</v>
      </c>
      <c r="AD179" s="8">
        <f>COUNTIF($Z$6:$Z$25,AD178)+COUNTIF($Z$247:$Z$249,AD178)+COUNTIF($Z$272:$Z$273,AD178)+COUNTIF($Z$301:$Z$302,AD178)</f>
        <v>6</v>
      </c>
      <c r="AE179" s="8">
        <f>COUNTIF($Z$6:$Z$25,AE178)+COUNTIF($Z$247:$Z$249,AE178)+COUNTIF($Z$272:$Z$273,AE178)+COUNTIF($Z$301:$Z$302,AE178)</f>
        <v>8</v>
      </c>
      <c r="AF179" s="8">
        <f>COUNTIF($Z$6:$Z$25,AF178)+COUNTIF($Z$247:$Z$249,AF178)+COUNTIF($Z$272:$Z$273,AF178)+COUNTIF($Z$301:$Z$302,AF178)</f>
        <v>13</v>
      </c>
      <c r="AG179" s="8">
        <f>COUNTIF($Z$6:$Z$25,AG178)+COUNTIF($Z$247:$Z$249,AG178)+COUNTIF($Z$272:$Z$273,AG178)+COUNTIF($Z$301:$Z$302,AG178)</f>
        <v>0</v>
      </c>
      <c r="AH179" s="8">
        <f>COUNTIF($Z$6:$Z$25,AH178)+COUNTIF($Z$247:$Z$249,AH178)+COUNTIF($Z$272:$Z$273,AH178)+COUNTIF($Z$301:$Z$302,AH178)</f>
        <v>0</v>
      </c>
      <c r="AI179" s="8"/>
      <c r="AJ179" s="8"/>
      <c r="AK179" s="8"/>
      <c r="AL179" s="9"/>
      <c r="AM179" s="8">
        <f>SUM(AD179:AJ179)</f>
        <v>27</v>
      </c>
    </row>
    <row r="180" spans="2:39" ht="12.75" customHeight="1" x14ac:dyDescent="0.3">
      <c r="B180" s="133">
        <v>4</v>
      </c>
      <c r="C180" s="142" t="s">
        <v>677</v>
      </c>
      <c r="D180" s="482">
        <v>4</v>
      </c>
      <c r="E180" s="482">
        <v>2</v>
      </c>
      <c r="F180" s="135"/>
      <c r="G180" s="135"/>
      <c r="H180" s="138"/>
      <c r="I180" s="135">
        <f>IFERROR(VLOOKUP(C180,'02_TCT GUADAMUR'!$F$6:$R$36,13,FALSE),"")</f>
        <v>0</v>
      </c>
      <c r="J180" s="135">
        <f>IFERROR(VLOOKUP(C180,'02_TCT GUADAMUR'!$F$6:$T$36,15,FALSE),"")</f>
        <v>6</v>
      </c>
      <c r="K180" s="138">
        <f>(I180+J180)</f>
        <v>6</v>
      </c>
      <c r="L180" s="135">
        <f>IFERROR(VLOOKUP(C180,'03_TCT MAQUEDA'!$F$6:$R$36,13,FALSE),"")</f>
        <v>0</v>
      </c>
      <c r="M180" s="135">
        <f>IFERROR(VLOOKUP(C180,'03_TCT MAQUEDA'!$F$6:$T$36,15,FALSE),"")</f>
        <v>8</v>
      </c>
      <c r="N180" s="138">
        <f>(L180+M180)</f>
        <v>8</v>
      </c>
      <c r="O180" s="135"/>
      <c r="P180" s="135"/>
      <c r="Q180" s="138"/>
      <c r="R180" s="135"/>
      <c r="S180" s="135"/>
      <c r="T180" s="138"/>
      <c r="U180" s="135"/>
      <c r="V180" s="135"/>
      <c r="W180" s="138"/>
      <c r="X180" s="139">
        <f t="shared" si="24"/>
        <v>14</v>
      </c>
      <c r="Y180" s="140" t="str">
        <f t="shared" si="25"/>
        <v>No</v>
      </c>
      <c r="Z180" s="141">
        <f t="shared" si="26"/>
        <v>2</v>
      </c>
      <c r="AA180" s="5"/>
      <c r="AB180" s="262" t="str">
        <f>IFERROR(VLOOKUP(C180,Tabla15[[Piloto2]:[Puntos clase5]],4, FALSE), " ")</f>
        <v xml:space="preserve"> </v>
      </c>
      <c r="AC180" s="31"/>
      <c r="AD180" s="32"/>
      <c r="AE180" s="32"/>
      <c r="AF180" s="32"/>
      <c r="AG180" s="32"/>
      <c r="AH180" s="32"/>
      <c r="AI180" s="32"/>
      <c r="AJ180" s="528" t="s">
        <v>32</v>
      </c>
      <c r="AK180" s="529"/>
      <c r="AL180" s="530"/>
      <c r="AM180" s="33" t="e">
        <f>#REF!/AM179</f>
        <v>#REF!</v>
      </c>
    </row>
    <row r="181" spans="2:39" ht="12.75" customHeight="1" x14ac:dyDescent="0.3">
      <c r="B181" s="133">
        <v>3</v>
      </c>
      <c r="C181" s="142" t="s">
        <v>627</v>
      </c>
      <c r="D181" s="482">
        <v>5</v>
      </c>
      <c r="E181" s="482" t="str">
        <f>LEFT(AB181,LEN(AB181)-2)</f>
        <v>4</v>
      </c>
      <c r="F181" s="135">
        <v>0</v>
      </c>
      <c r="G181" s="135">
        <v>0</v>
      </c>
      <c r="H181" s="138">
        <f>(F181+G181)*2</f>
        <v>0</v>
      </c>
      <c r="I181" s="135">
        <f>IFERROR(VLOOKUP(C181,'02_TCT GUADAMUR'!$F$6:$R$36,13,FALSE),"")</f>
        <v>5</v>
      </c>
      <c r="J181" s="135">
        <f>IFERROR(VLOOKUP(C181,'02_TCT GUADAMUR'!$F$6:$T$36,15,FALSE),"")</f>
        <v>8</v>
      </c>
      <c r="K181" s="138">
        <f>(I181+J181)</f>
        <v>13</v>
      </c>
      <c r="L181" s="135"/>
      <c r="M181" s="135"/>
      <c r="N181" s="138"/>
      <c r="O181" s="135"/>
      <c r="P181" s="135"/>
      <c r="Q181" s="138"/>
      <c r="R181" s="135"/>
      <c r="S181" s="135"/>
      <c r="T181" s="138"/>
      <c r="U181" s="135"/>
      <c r="V181" s="135"/>
      <c r="W181" s="138"/>
      <c r="X181" s="139">
        <f t="shared" si="24"/>
        <v>13</v>
      </c>
      <c r="Y181" s="140" t="str">
        <f t="shared" si="25"/>
        <v>No</v>
      </c>
      <c r="Z181" s="141">
        <f t="shared" si="26"/>
        <v>2</v>
      </c>
      <c r="AA181" s="148"/>
      <c r="AB181" s="262" t="str">
        <f>IFERROR(VLOOKUP(C181,Tabla15[[Piloto2]:[Puntos clase5]],4, FALSE), " ")</f>
        <v>4RM</v>
      </c>
    </row>
    <row r="182" spans="2:39" ht="12.75" customHeight="1" x14ac:dyDescent="0.3">
      <c r="B182" s="133">
        <v>8</v>
      </c>
      <c r="C182" s="142" t="s">
        <v>212</v>
      </c>
      <c r="D182" s="482">
        <v>3</v>
      </c>
      <c r="E182" s="482" t="str">
        <f>LEFT(AB182,LEN(AB182)-2)</f>
        <v>2</v>
      </c>
      <c r="F182" s="135">
        <f>IFERROR(VLOOKUP(C182,'01_RS ALCARRIA'!$F$6:$R$36,13,FALSE),"")</f>
        <v>4</v>
      </c>
      <c r="G182" s="135">
        <f>IFERROR(VLOOKUP(C182,'01_RS ALCARRIA'!$F$6:$T$36,15,FALSE),"")</f>
        <v>1</v>
      </c>
      <c r="H182" s="138">
        <f>(F182+G182)*2</f>
        <v>10</v>
      </c>
      <c r="I182" s="135"/>
      <c r="J182" s="135"/>
      <c r="K182" s="138"/>
      <c r="L182" s="135"/>
      <c r="M182" s="135"/>
      <c r="N182" s="138"/>
      <c r="O182" s="135"/>
      <c r="P182" s="135"/>
      <c r="Q182" s="138"/>
      <c r="R182" s="135"/>
      <c r="S182" s="135"/>
      <c r="T182" s="138"/>
      <c r="U182" s="135"/>
      <c r="V182" s="135"/>
      <c r="W182" s="138"/>
      <c r="X182" s="139">
        <f t="shared" si="24"/>
        <v>10</v>
      </c>
      <c r="Y182" s="140" t="str">
        <f t="shared" si="25"/>
        <v>No</v>
      </c>
      <c r="Z182" s="141">
        <f t="shared" si="26"/>
        <v>1</v>
      </c>
      <c r="AA182" s="148"/>
      <c r="AB182" s="262" t="str">
        <f>IFERROR(VLOOKUP(C182,Tabla15[[Piloto2]:[Puntos clase5]],4, FALSE), " ")</f>
        <v>2RM</v>
      </c>
    </row>
    <row r="183" spans="2:39" ht="12.75" customHeight="1" x14ac:dyDescent="0.3">
      <c r="B183" s="133">
        <v>8</v>
      </c>
      <c r="C183" s="142" t="s">
        <v>608</v>
      </c>
      <c r="D183" s="482">
        <v>3</v>
      </c>
      <c r="E183" s="482" t="str">
        <f>LEFT(AB183,LEN(AB183)-2)</f>
        <v>2</v>
      </c>
      <c r="F183" s="135">
        <f>IFERROR(VLOOKUP(C183,'01_RS ALCARRIA'!$F$6:$R$36,13,FALSE),"")</f>
        <v>3</v>
      </c>
      <c r="G183" s="135">
        <f>IFERROR(VLOOKUP(C183,'01_RS ALCARRIA'!$F$6:$T$36,15,FALSE),"")</f>
        <v>0</v>
      </c>
      <c r="H183" s="138">
        <f>(F183+G183)*2</f>
        <v>6</v>
      </c>
      <c r="I183" s="135">
        <f>IFERROR(VLOOKUP(C183,'02_TCT GUADAMUR'!$F$6:$R$36,13,FALSE),"")</f>
        <v>0</v>
      </c>
      <c r="J183" s="135">
        <f>IFERROR(VLOOKUP(C183,'02_TCT GUADAMUR'!$F$6:$T$36,15,FALSE),"")</f>
        <v>0</v>
      </c>
      <c r="K183" s="138">
        <f>(I183+J183)</f>
        <v>0</v>
      </c>
      <c r="L183" s="135">
        <f>IFERROR(VLOOKUP(C183,'03_TCT MAQUEDA'!$F$6:$R$36,13,FALSE),"")</f>
        <v>1</v>
      </c>
      <c r="M183" s="135">
        <f>IFERROR(VLOOKUP(C183,'03_TCT MAQUEDA'!$F$6:$T$36,15,FALSE),"")</f>
        <v>3</v>
      </c>
      <c r="N183" s="138">
        <f>(L183+M183)</f>
        <v>4</v>
      </c>
      <c r="O183" s="135"/>
      <c r="P183" s="135"/>
      <c r="Q183" s="138"/>
      <c r="R183" s="135"/>
      <c r="S183" s="135"/>
      <c r="T183" s="138"/>
      <c r="U183" s="135"/>
      <c r="V183" s="135"/>
      <c r="W183" s="138"/>
      <c r="X183" s="139">
        <f t="shared" si="24"/>
        <v>10</v>
      </c>
      <c r="Y183" s="140" t="str">
        <f t="shared" si="25"/>
        <v>Sí</v>
      </c>
      <c r="Z183" s="141">
        <f t="shared" si="26"/>
        <v>3</v>
      </c>
      <c r="AA183" s="148"/>
      <c r="AB183" s="262" t="str">
        <f>IFERROR(VLOOKUP(C183,Tabla15[[Piloto2]:[Puntos clase5]],4, FALSE), " ")</f>
        <v>2RM</v>
      </c>
    </row>
    <row r="184" spans="2:39" ht="12.75" customHeight="1" x14ac:dyDescent="0.3">
      <c r="B184" s="133">
        <v>10</v>
      </c>
      <c r="C184" s="142" t="s">
        <v>673</v>
      </c>
      <c r="D184" s="482">
        <v>3</v>
      </c>
      <c r="E184" s="482">
        <v>2</v>
      </c>
      <c r="F184" s="135"/>
      <c r="G184" s="135"/>
      <c r="H184" s="138"/>
      <c r="I184" s="135">
        <f>IFERROR(VLOOKUP(C184,'02_TCT GUADAMUR'!$F$6:$R$36,13,FALSE),"")</f>
        <v>3</v>
      </c>
      <c r="J184" s="135">
        <f>IFERROR(VLOOKUP(C184,'02_TCT GUADAMUR'!$F$6:$T$36,15,FALSE),"")</f>
        <v>5</v>
      </c>
      <c r="K184" s="138">
        <f>(I184+J184)</f>
        <v>8</v>
      </c>
      <c r="L184" s="135"/>
      <c r="M184" s="135"/>
      <c r="N184" s="138"/>
      <c r="O184" s="135"/>
      <c r="P184" s="135"/>
      <c r="Q184" s="138"/>
      <c r="R184" s="135"/>
      <c r="S184" s="135"/>
      <c r="T184" s="138"/>
      <c r="U184" s="135"/>
      <c r="V184" s="135"/>
      <c r="W184" s="138"/>
      <c r="X184" s="139">
        <f t="shared" si="24"/>
        <v>8</v>
      </c>
      <c r="Y184" s="140" t="str">
        <f t="shared" si="25"/>
        <v>No</v>
      </c>
      <c r="Z184" s="141">
        <f t="shared" si="26"/>
        <v>1</v>
      </c>
      <c r="AA184" s="148"/>
      <c r="AB184" s="262" t="str">
        <f>IFERROR(VLOOKUP(C184,Tabla15[[Piloto2]:[Puntos clase5]],4, FALSE), " ")</f>
        <v xml:space="preserve"> </v>
      </c>
    </row>
    <row r="185" spans="2:39" ht="12.75" customHeight="1" x14ac:dyDescent="0.3">
      <c r="B185" s="133">
        <v>4</v>
      </c>
      <c r="C185" s="142" t="s">
        <v>699</v>
      </c>
      <c r="D185" s="482">
        <v>5</v>
      </c>
      <c r="E185" s="482">
        <v>2</v>
      </c>
      <c r="F185" s="135"/>
      <c r="G185" s="135"/>
      <c r="H185" s="138"/>
      <c r="I185" s="135"/>
      <c r="J185" s="135"/>
      <c r="K185" s="138"/>
      <c r="L185" s="135">
        <f>IFERROR(VLOOKUP(C185,'03_TCT MAQUEDA'!$F$6:$R$36,13,FALSE),"")</f>
        <v>4</v>
      </c>
      <c r="M185" s="284">
        <f>IFERROR(VLOOKUP(C185,'03_TCT MAQUEDA'!$F$6:$T$36,15,FALSE),"")/2</f>
        <v>4</v>
      </c>
      <c r="N185" s="138">
        <f>(L185+M185)</f>
        <v>8</v>
      </c>
      <c r="O185" s="135"/>
      <c r="P185" s="135"/>
      <c r="Q185" s="138"/>
      <c r="R185" s="135"/>
      <c r="S185" s="135"/>
      <c r="T185" s="138"/>
      <c r="U185" s="135"/>
      <c r="V185" s="135"/>
      <c r="W185" s="138"/>
      <c r="X185" s="139">
        <f t="shared" si="24"/>
        <v>8</v>
      </c>
      <c r="Y185" s="140" t="str">
        <f t="shared" si="25"/>
        <v>No</v>
      </c>
      <c r="Z185" s="141">
        <f t="shared" si="26"/>
        <v>1</v>
      </c>
      <c r="AA185" s="148"/>
      <c r="AB185" s="262" t="str">
        <f>IFERROR(VLOOKUP(C185,Tabla15[[Piloto2]:[Puntos clase5]],4, FALSE), " ")</f>
        <v xml:space="preserve"> </v>
      </c>
    </row>
    <row r="186" spans="2:39" ht="12.75" customHeight="1" x14ac:dyDescent="0.3">
      <c r="B186" s="133">
        <v>11</v>
      </c>
      <c r="C186" s="142" t="s">
        <v>633</v>
      </c>
      <c r="D186" s="482">
        <v>3</v>
      </c>
      <c r="E186" s="482">
        <v>2</v>
      </c>
      <c r="F186" s="135">
        <v>0</v>
      </c>
      <c r="G186" s="135">
        <v>0</v>
      </c>
      <c r="H186" s="138">
        <f>(F186+G186)*2</f>
        <v>0</v>
      </c>
      <c r="I186" s="135"/>
      <c r="J186" s="135"/>
      <c r="K186" s="138"/>
      <c r="L186" s="135">
        <f>IFERROR(VLOOKUP(C186,'03_TCT MAQUEDA'!$F$6:$R$36,13,FALSE),"")</f>
        <v>2</v>
      </c>
      <c r="M186" s="135">
        <f>IFERROR(VLOOKUP(C186,'03_TCT MAQUEDA'!$F$6:$T$36,15,FALSE),"")</f>
        <v>5</v>
      </c>
      <c r="N186" s="138">
        <f>(L186+M186)</f>
        <v>7</v>
      </c>
      <c r="O186" s="135"/>
      <c r="P186" s="135"/>
      <c r="Q186" s="138"/>
      <c r="R186" s="135"/>
      <c r="S186" s="135"/>
      <c r="T186" s="138"/>
      <c r="U186" s="135"/>
      <c r="V186" s="135"/>
      <c r="W186" s="138"/>
      <c r="X186" s="139">
        <f t="shared" si="24"/>
        <v>7</v>
      </c>
      <c r="Y186" s="140" t="str">
        <f t="shared" si="25"/>
        <v>No</v>
      </c>
      <c r="Z186" s="141">
        <f t="shared" si="26"/>
        <v>2</v>
      </c>
      <c r="AA186" s="148"/>
      <c r="AB186" s="262" t="str">
        <f>IFERROR(VLOOKUP(C186,Tabla15[[Piloto2]:[Puntos clase5]],4, FALSE), " ")</f>
        <v>2RM</v>
      </c>
    </row>
    <row r="187" spans="2:39" ht="12.75" customHeight="1" x14ac:dyDescent="0.3">
      <c r="B187" s="133">
        <v>4</v>
      </c>
      <c r="C187" s="142" t="s">
        <v>679</v>
      </c>
      <c r="D187" s="482">
        <v>1</v>
      </c>
      <c r="E187" s="482">
        <v>4</v>
      </c>
      <c r="F187" s="135"/>
      <c r="G187" s="135"/>
      <c r="H187" s="138"/>
      <c r="I187" s="135">
        <v>0</v>
      </c>
      <c r="J187" s="135">
        <v>0</v>
      </c>
      <c r="K187" s="138">
        <f>(I187+J187)</f>
        <v>0</v>
      </c>
      <c r="L187" s="135">
        <f>IFERROR(VLOOKUP(C187,'03_TCT MAQUEDA'!$F$6:$R$36,13,FALSE),"")</f>
        <v>0</v>
      </c>
      <c r="M187" s="135">
        <f>IFERROR(VLOOKUP(C187,'03_TCT MAQUEDA'!$F$6:$T$36,15,FALSE),"")</f>
        <v>6</v>
      </c>
      <c r="N187" s="138">
        <f>(L187+M187)</f>
        <v>6</v>
      </c>
      <c r="O187" s="135"/>
      <c r="P187" s="135"/>
      <c r="Q187" s="138"/>
      <c r="R187" s="135"/>
      <c r="S187" s="135"/>
      <c r="T187" s="138"/>
      <c r="U187" s="135"/>
      <c r="V187" s="135"/>
      <c r="W187" s="138"/>
      <c r="X187" s="139">
        <f t="shared" si="24"/>
        <v>6</v>
      </c>
      <c r="Y187" s="140" t="str">
        <f t="shared" si="25"/>
        <v>No</v>
      </c>
      <c r="Z187" s="141">
        <f t="shared" si="26"/>
        <v>2</v>
      </c>
      <c r="AA187" s="148"/>
      <c r="AB187" s="262" t="str">
        <f>IFERROR(VLOOKUP(C187,Tabla15[[Piloto2]:[Puntos clase5]],4, FALSE), " ")</f>
        <v xml:space="preserve"> </v>
      </c>
    </row>
    <row r="188" spans="2:39" ht="12.75" customHeight="1" x14ac:dyDescent="0.3">
      <c r="B188" s="133">
        <v>5</v>
      </c>
      <c r="C188" s="142" t="s">
        <v>684</v>
      </c>
      <c r="D188" s="482">
        <v>4</v>
      </c>
      <c r="E188" s="482">
        <v>2</v>
      </c>
      <c r="F188" s="135"/>
      <c r="G188" s="135"/>
      <c r="H188" s="138"/>
      <c r="I188" s="135">
        <v>0</v>
      </c>
      <c r="J188" s="135">
        <v>0</v>
      </c>
      <c r="K188" s="138">
        <f>(I188+J188)</f>
        <v>0</v>
      </c>
      <c r="L188" s="135">
        <f>IFERROR(VLOOKUP(C188,'03_TCT MAQUEDA'!$F$6:$R$36,13,FALSE),"")</f>
        <v>0</v>
      </c>
      <c r="M188" s="135">
        <f>IFERROR(VLOOKUP(C188,'03_TCT MAQUEDA'!$F$6:$T$36,15,FALSE),"")</f>
        <v>6</v>
      </c>
      <c r="N188" s="138">
        <f>(L188+M188)</f>
        <v>6</v>
      </c>
      <c r="O188" s="135"/>
      <c r="P188" s="135"/>
      <c r="Q188" s="138"/>
      <c r="R188" s="135"/>
      <c r="S188" s="135"/>
      <c r="T188" s="138"/>
      <c r="U188" s="135"/>
      <c r="V188" s="135"/>
      <c r="W188" s="138"/>
      <c r="X188" s="139">
        <f t="shared" si="24"/>
        <v>6</v>
      </c>
      <c r="Y188" s="140" t="str">
        <f t="shared" si="25"/>
        <v>No</v>
      </c>
      <c r="Z188" s="141">
        <f t="shared" si="26"/>
        <v>2</v>
      </c>
      <c r="AA188" s="148"/>
      <c r="AB188" s="262" t="str">
        <f>IFERROR(VLOOKUP(C188,Tabla15[[Piloto2]:[Puntos clase5]],4, FALSE), " ")</f>
        <v xml:space="preserve"> </v>
      </c>
    </row>
    <row r="189" spans="2:39" ht="12.75" customHeight="1" x14ac:dyDescent="0.3">
      <c r="B189" s="133">
        <v>4</v>
      </c>
      <c r="C189" s="142" t="s">
        <v>629</v>
      </c>
      <c r="D189" s="482">
        <v>2</v>
      </c>
      <c r="E189" s="482" t="str">
        <f>LEFT(AB189,LEN(AB189)-2)</f>
        <v>2</v>
      </c>
      <c r="F189" s="135">
        <v>0</v>
      </c>
      <c r="G189" s="135">
        <v>0</v>
      </c>
      <c r="H189" s="138">
        <f>(F189+G189)*2</f>
        <v>0</v>
      </c>
      <c r="I189" s="135">
        <v>0</v>
      </c>
      <c r="J189" s="135">
        <v>0</v>
      </c>
      <c r="K189" s="138">
        <f>(I189+J189)</f>
        <v>0</v>
      </c>
      <c r="L189" s="135">
        <f>IFERROR(VLOOKUP(C189,'03_TCT MAQUEDA'!$F$6:$R$36,13,FALSE),"")</f>
        <v>0</v>
      </c>
      <c r="M189" s="135">
        <f>IFERROR(VLOOKUP(C189,'03_TCT MAQUEDA'!$F$6:$T$36,15,FALSE),"")</f>
        <v>5</v>
      </c>
      <c r="N189" s="138">
        <f>(L189+M189)</f>
        <v>5</v>
      </c>
      <c r="O189" s="135"/>
      <c r="P189" s="135"/>
      <c r="Q189" s="138"/>
      <c r="R189" s="135"/>
      <c r="S189" s="135"/>
      <c r="T189" s="138"/>
      <c r="U189" s="135"/>
      <c r="V189" s="135"/>
      <c r="W189" s="138"/>
      <c r="X189" s="139">
        <f t="shared" si="24"/>
        <v>5</v>
      </c>
      <c r="Y189" s="140" t="str">
        <f t="shared" si="25"/>
        <v>Sí</v>
      </c>
      <c r="Z189" s="141">
        <f t="shared" si="26"/>
        <v>3</v>
      </c>
      <c r="AA189" s="148"/>
      <c r="AB189" s="262" t="str">
        <f>IFERROR(VLOOKUP(C189,Tabla15[[Piloto2]:[Puntos clase5]],4, FALSE), " ")</f>
        <v>2RM</v>
      </c>
    </row>
    <row r="190" spans="2:39" ht="12.75" customHeight="1" x14ac:dyDescent="0.3">
      <c r="B190" s="133">
        <v>4</v>
      </c>
      <c r="C190" s="142" t="s">
        <v>638</v>
      </c>
      <c r="D190" s="482">
        <v>2</v>
      </c>
      <c r="E190" s="482">
        <v>2</v>
      </c>
      <c r="F190" s="135"/>
      <c r="G190" s="135"/>
      <c r="H190" s="138"/>
      <c r="I190" s="135">
        <f>IFERROR(VLOOKUP(C190,'02_TCT GUADAMUR'!$F$6:$R$36,13,FALSE),"")</f>
        <v>0</v>
      </c>
      <c r="J190" s="135">
        <f>IFERROR(VLOOKUP(C190,'02_TCT GUADAMUR'!$F$6:$T$36,15,FALSE),"")</f>
        <v>5</v>
      </c>
      <c r="K190" s="138">
        <f>(I190+J190)</f>
        <v>5</v>
      </c>
      <c r="L190" s="135"/>
      <c r="M190" s="135"/>
      <c r="N190" s="138"/>
      <c r="O190" s="135"/>
      <c r="P190" s="135"/>
      <c r="Q190" s="138"/>
      <c r="R190" s="135"/>
      <c r="S190" s="135"/>
      <c r="T190" s="138"/>
      <c r="U190" s="135"/>
      <c r="V190" s="135"/>
      <c r="W190" s="138"/>
      <c r="X190" s="139">
        <f t="shared" si="24"/>
        <v>5</v>
      </c>
      <c r="Y190" s="140" t="str">
        <f t="shared" si="25"/>
        <v>No</v>
      </c>
      <c r="Z190" s="141">
        <f t="shared" si="26"/>
        <v>1</v>
      </c>
      <c r="AA190" s="148"/>
      <c r="AB190" s="262" t="str">
        <f>IFERROR(VLOOKUP(C190,Tabla15[[Piloto2]:[Puntos clase5]],4, FALSE), " ")</f>
        <v>2RM</v>
      </c>
    </row>
    <row r="191" spans="2:39" ht="12.75" customHeight="1" x14ac:dyDescent="0.3">
      <c r="B191" s="133">
        <v>12</v>
      </c>
      <c r="C191" s="142" t="s">
        <v>613</v>
      </c>
      <c r="D191" s="482">
        <v>3</v>
      </c>
      <c r="E191" s="482" t="str">
        <f>LEFT(AB191,LEN(AB191)-2)</f>
        <v>2</v>
      </c>
      <c r="F191" s="135">
        <f>IFERROR(VLOOKUP(C191,'01_RS ALCARRIA'!$F$6:$R$36,13,FALSE),"")</f>
        <v>1</v>
      </c>
      <c r="G191" s="135">
        <f>IFERROR(VLOOKUP(C191,'01_RS ALCARRIA'!$F$6:$T$36,15,FALSE),"")</f>
        <v>0</v>
      </c>
      <c r="H191" s="138">
        <f>(F191+G191)*2</f>
        <v>2</v>
      </c>
      <c r="I191" s="135"/>
      <c r="J191" s="135"/>
      <c r="K191" s="138"/>
      <c r="L191" s="135">
        <f>IFERROR(VLOOKUP(C191,'03_TCT MAQUEDA'!$F$6:$R$36,13,FALSE),"")</f>
        <v>0</v>
      </c>
      <c r="M191" s="135">
        <f>IFERROR(VLOOKUP(C191,'03_TCT MAQUEDA'!$F$6:$T$36,15,FALSE),"")</f>
        <v>1</v>
      </c>
      <c r="N191" s="138">
        <f>(L191+M191)</f>
        <v>1</v>
      </c>
      <c r="O191" s="135"/>
      <c r="P191" s="135"/>
      <c r="Q191" s="138"/>
      <c r="R191" s="135"/>
      <c r="S191" s="135"/>
      <c r="T191" s="138"/>
      <c r="U191" s="135"/>
      <c r="V191" s="135"/>
      <c r="W191" s="138"/>
      <c r="X191" s="139">
        <f t="shared" si="24"/>
        <v>3</v>
      </c>
      <c r="Y191" s="140" t="str">
        <f t="shared" si="25"/>
        <v>No</v>
      </c>
      <c r="Z191" s="141">
        <f t="shared" si="26"/>
        <v>2</v>
      </c>
      <c r="AA191" s="148"/>
      <c r="AB191" s="262" t="str">
        <f>IFERROR(VLOOKUP(C191,Tabla15[[Piloto2]:[Puntos clase5]],4, FALSE), " ")</f>
        <v>2RM</v>
      </c>
    </row>
    <row r="192" spans="2:39" ht="12.75" customHeight="1" x14ac:dyDescent="0.3">
      <c r="B192" s="133" t="s">
        <v>658</v>
      </c>
      <c r="C192" s="142" t="s">
        <v>620</v>
      </c>
      <c r="D192" s="482">
        <v>3</v>
      </c>
      <c r="E192" s="482" t="str">
        <f>LEFT(AB192,LEN(AB192)-2)</f>
        <v>2</v>
      </c>
      <c r="F192" s="135">
        <f>IFERROR(VLOOKUP(C192,'01_RS ALCARRIA'!$F$6:$R$36,13,FALSE),"")</f>
        <v>0</v>
      </c>
      <c r="G192" s="135">
        <f>IFERROR(VLOOKUP(C192,'01_RS ALCARRIA'!$F$6:$T$36,15,FALSE),"")</f>
        <v>0</v>
      </c>
      <c r="H192" s="138">
        <f>(F192+G192)*2</f>
        <v>0</v>
      </c>
      <c r="I192" s="135"/>
      <c r="J192" s="135"/>
      <c r="K192" s="138"/>
      <c r="L192" s="135"/>
      <c r="M192" s="135"/>
      <c r="N192" s="138"/>
      <c r="O192" s="135"/>
      <c r="P192" s="135"/>
      <c r="Q192" s="138"/>
      <c r="R192" s="135"/>
      <c r="S192" s="135"/>
      <c r="T192" s="138"/>
      <c r="U192" s="135"/>
      <c r="V192" s="135"/>
      <c r="W192" s="138"/>
      <c r="X192" s="139">
        <f t="shared" si="24"/>
        <v>0</v>
      </c>
      <c r="Y192" s="140" t="str">
        <f t="shared" si="25"/>
        <v>No</v>
      </c>
      <c r="Z192" s="141">
        <f t="shared" si="26"/>
        <v>1</v>
      </c>
      <c r="AA192" s="148"/>
      <c r="AB192" s="262" t="str">
        <f>IFERROR(VLOOKUP(C192,Tabla15[[Piloto2]:[Puntos clase5]],4, FALSE), " ")</f>
        <v>2RM</v>
      </c>
    </row>
    <row r="193" spans="2:39" ht="12.75" customHeight="1" x14ac:dyDescent="0.3">
      <c r="B193" s="133" t="s">
        <v>658</v>
      </c>
      <c r="C193" s="134" t="s">
        <v>636</v>
      </c>
      <c r="D193" s="482">
        <v>5</v>
      </c>
      <c r="E193" s="482">
        <v>2</v>
      </c>
      <c r="F193" s="135">
        <v>0</v>
      </c>
      <c r="G193" s="135">
        <v>0</v>
      </c>
      <c r="H193" s="138">
        <f>(F193+G193)*2</f>
        <v>0</v>
      </c>
      <c r="I193" s="135"/>
      <c r="J193" s="135"/>
      <c r="K193" s="138"/>
      <c r="L193" s="135"/>
      <c r="M193" s="135"/>
      <c r="N193" s="138"/>
      <c r="O193" s="135"/>
      <c r="P193" s="135"/>
      <c r="Q193" s="138"/>
      <c r="R193" s="135"/>
      <c r="S193" s="135"/>
      <c r="T193" s="138"/>
      <c r="U193" s="135"/>
      <c r="V193" s="135"/>
      <c r="W193" s="138"/>
      <c r="X193" s="139">
        <f t="shared" si="24"/>
        <v>0</v>
      </c>
      <c r="Y193" s="240"/>
      <c r="Z193" s="127"/>
      <c r="AA193" s="148"/>
      <c r="AB193" s="262"/>
    </row>
    <row r="194" spans="2:39" ht="12.75" customHeight="1" x14ac:dyDescent="0.3">
      <c r="B194" s="133" t="s">
        <v>658</v>
      </c>
      <c r="C194" s="142" t="s">
        <v>458</v>
      </c>
      <c r="D194" s="482">
        <v>1</v>
      </c>
      <c r="E194" s="482">
        <v>4</v>
      </c>
      <c r="F194" s="135"/>
      <c r="G194" s="135"/>
      <c r="H194" s="138"/>
      <c r="I194" s="135">
        <v>0</v>
      </c>
      <c r="J194" s="135">
        <v>0</v>
      </c>
      <c r="K194" s="138">
        <f>(I194+J194)</f>
        <v>0</v>
      </c>
      <c r="L194" s="135"/>
      <c r="M194" s="135"/>
      <c r="N194" s="138"/>
      <c r="O194" s="135"/>
      <c r="P194" s="135"/>
      <c r="Q194" s="138"/>
      <c r="R194" s="135"/>
      <c r="S194" s="135"/>
      <c r="T194" s="138"/>
      <c r="U194" s="135"/>
      <c r="V194" s="135"/>
      <c r="W194" s="138"/>
      <c r="X194" s="139">
        <f t="shared" si="24"/>
        <v>0</v>
      </c>
      <c r="Y194" s="240"/>
      <c r="Z194" s="127"/>
      <c r="AA194" s="148"/>
      <c r="AB194" s="262"/>
    </row>
    <row r="195" spans="2:39" ht="12.75" customHeight="1" x14ac:dyDescent="0.3">
      <c r="B195" s="133" t="s">
        <v>658</v>
      </c>
      <c r="C195" s="142" t="s">
        <v>681</v>
      </c>
      <c r="D195" s="482">
        <v>3</v>
      </c>
      <c r="E195" s="482">
        <v>2</v>
      </c>
      <c r="F195" s="135"/>
      <c r="G195" s="135"/>
      <c r="H195" s="138"/>
      <c r="I195" s="135">
        <v>0</v>
      </c>
      <c r="J195" s="135">
        <v>0</v>
      </c>
      <c r="K195" s="138">
        <f>(I195+J195)</f>
        <v>0</v>
      </c>
      <c r="L195" s="135">
        <v>0</v>
      </c>
      <c r="M195" s="135">
        <v>0</v>
      </c>
      <c r="N195" s="138">
        <f t="shared" ref="N195:N200" si="27">(L195+M195)</f>
        <v>0</v>
      </c>
      <c r="O195" s="135"/>
      <c r="P195" s="135"/>
      <c r="Q195" s="138"/>
      <c r="R195" s="135"/>
      <c r="S195" s="135"/>
      <c r="T195" s="138"/>
      <c r="U195" s="135"/>
      <c r="V195" s="135"/>
      <c r="W195" s="138"/>
      <c r="X195" s="139">
        <f t="shared" si="24"/>
        <v>0</v>
      </c>
      <c r="Y195" s="240"/>
      <c r="Z195" s="127"/>
      <c r="AA195" s="148"/>
      <c r="AB195" s="262"/>
    </row>
    <row r="196" spans="2:39" ht="12.75" customHeight="1" x14ac:dyDescent="0.3">
      <c r="B196" s="133" t="s">
        <v>658</v>
      </c>
      <c r="C196" s="142" t="s">
        <v>700</v>
      </c>
      <c r="D196" s="482">
        <v>3</v>
      </c>
      <c r="E196" s="482">
        <v>2</v>
      </c>
      <c r="F196" s="135"/>
      <c r="G196" s="135"/>
      <c r="H196" s="138"/>
      <c r="I196" s="135"/>
      <c r="J196" s="135"/>
      <c r="K196" s="138"/>
      <c r="L196" s="135">
        <v>0</v>
      </c>
      <c r="M196" s="135">
        <v>0</v>
      </c>
      <c r="N196" s="138">
        <f t="shared" si="27"/>
        <v>0</v>
      </c>
      <c r="O196" s="135"/>
      <c r="P196" s="135"/>
      <c r="Q196" s="138"/>
      <c r="R196" s="135"/>
      <c r="S196" s="135"/>
      <c r="T196" s="138"/>
      <c r="U196" s="135"/>
      <c r="V196" s="135"/>
      <c r="W196" s="138"/>
      <c r="X196" s="139">
        <f t="shared" si="24"/>
        <v>0</v>
      </c>
      <c r="Y196" s="240"/>
      <c r="Z196" s="127"/>
      <c r="AA196" s="148"/>
      <c r="AB196" s="262"/>
    </row>
    <row r="197" spans="2:39" ht="12.75" customHeight="1" x14ac:dyDescent="0.3">
      <c r="B197" s="133" t="s">
        <v>658</v>
      </c>
      <c r="C197" s="142" t="s">
        <v>701</v>
      </c>
      <c r="D197" s="482">
        <v>3</v>
      </c>
      <c r="E197" s="482">
        <v>2</v>
      </c>
      <c r="F197" s="135"/>
      <c r="G197" s="135"/>
      <c r="H197" s="138"/>
      <c r="I197" s="135"/>
      <c r="J197" s="135"/>
      <c r="K197" s="138"/>
      <c r="L197" s="135">
        <v>0</v>
      </c>
      <c r="M197" s="135">
        <v>0</v>
      </c>
      <c r="N197" s="138">
        <f t="shared" si="27"/>
        <v>0</v>
      </c>
      <c r="O197" s="135"/>
      <c r="P197" s="135"/>
      <c r="Q197" s="138"/>
      <c r="R197" s="135"/>
      <c r="S197" s="135"/>
      <c r="T197" s="138"/>
      <c r="U197" s="135"/>
      <c r="V197" s="135"/>
      <c r="W197" s="138"/>
      <c r="X197" s="139">
        <f t="shared" si="24"/>
        <v>0</v>
      </c>
      <c r="Y197" s="240"/>
      <c r="Z197" s="127"/>
      <c r="AA197" s="148"/>
      <c r="AB197" s="262"/>
    </row>
    <row r="198" spans="2:39" ht="12.75" customHeight="1" x14ac:dyDescent="0.3">
      <c r="B198" s="133" t="s">
        <v>658</v>
      </c>
      <c r="C198" s="142" t="s">
        <v>276</v>
      </c>
      <c r="D198" s="482">
        <v>3</v>
      </c>
      <c r="E198" s="482">
        <v>2</v>
      </c>
      <c r="F198" s="135"/>
      <c r="G198" s="135"/>
      <c r="H198" s="138"/>
      <c r="I198" s="135"/>
      <c r="J198" s="135"/>
      <c r="K198" s="138"/>
      <c r="L198" s="135">
        <v>0</v>
      </c>
      <c r="M198" s="135">
        <v>0</v>
      </c>
      <c r="N198" s="138">
        <f t="shared" si="27"/>
        <v>0</v>
      </c>
      <c r="O198" s="135"/>
      <c r="P198" s="135"/>
      <c r="Q198" s="138"/>
      <c r="R198" s="135"/>
      <c r="S198" s="135"/>
      <c r="T198" s="138"/>
      <c r="U198" s="135"/>
      <c r="V198" s="135"/>
      <c r="W198" s="138"/>
      <c r="X198" s="139">
        <f t="shared" si="24"/>
        <v>0</v>
      </c>
      <c r="Y198" s="240"/>
      <c r="Z198" s="127"/>
      <c r="AA198" s="148"/>
      <c r="AB198" s="262"/>
    </row>
    <row r="199" spans="2:39" ht="12.75" customHeight="1" x14ac:dyDescent="0.3">
      <c r="B199" s="133" t="s">
        <v>658</v>
      </c>
      <c r="C199" s="142" t="s">
        <v>703</v>
      </c>
      <c r="D199" s="482">
        <v>2</v>
      </c>
      <c r="E199" s="482">
        <v>2</v>
      </c>
      <c r="F199" s="135"/>
      <c r="G199" s="135"/>
      <c r="H199" s="138"/>
      <c r="I199" s="135"/>
      <c r="J199" s="135"/>
      <c r="K199" s="138"/>
      <c r="L199" s="135">
        <v>0</v>
      </c>
      <c r="M199" s="135">
        <v>0</v>
      </c>
      <c r="N199" s="138">
        <f t="shared" si="27"/>
        <v>0</v>
      </c>
      <c r="O199" s="135"/>
      <c r="P199" s="135"/>
      <c r="Q199" s="138"/>
      <c r="R199" s="135"/>
      <c r="S199" s="135"/>
      <c r="T199" s="138"/>
      <c r="U199" s="135"/>
      <c r="V199" s="135"/>
      <c r="W199" s="138"/>
      <c r="X199" s="139">
        <f t="shared" si="24"/>
        <v>0</v>
      </c>
      <c r="Y199" s="240"/>
      <c r="Z199" s="127"/>
      <c r="AA199" s="148"/>
      <c r="AB199" s="262"/>
    </row>
    <row r="200" spans="2:39" ht="12.75" customHeight="1" x14ac:dyDescent="0.3">
      <c r="B200" s="133" t="s">
        <v>658</v>
      </c>
      <c r="C200" s="142" t="s">
        <v>458</v>
      </c>
      <c r="D200" s="482">
        <v>4</v>
      </c>
      <c r="E200" s="482">
        <v>2</v>
      </c>
      <c r="F200" s="135"/>
      <c r="G200" s="135"/>
      <c r="H200" s="138"/>
      <c r="I200" s="135"/>
      <c r="J200" s="135"/>
      <c r="K200" s="138"/>
      <c r="L200" s="135">
        <v>0</v>
      </c>
      <c r="M200" s="135">
        <v>0</v>
      </c>
      <c r="N200" s="138">
        <f t="shared" si="27"/>
        <v>0</v>
      </c>
      <c r="O200" s="135"/>
      <c r="P200" s="135"/>
      <c r="Q200" s="138"/>
      <c r="R200" s="135"/>
      <c r="S200" s="135"/>
      <c r="T200" s="138"/>
      <c r="U200" s="135"/>
      <c r="V200" s="135"/>
      <c r="W200" s="138"/>
      <c r="X200" s="139">
        <f t="shared" si="24"/>
        <v>0</v>
      </c>
      <c r="Y200" s="240"/>
      <c r="Z200" s="127"/>
      <c r="AA200" s="148"/>
      <c r="AB200" s="262"/>
    </row>
    <row r="201" spans="2:39" ht="12" x14ac:dyDescent="0.3">
      <c r="B201" s="155"/>
      <c r="C201" s="236"/>
      <c r="D201" s="155"/>
      <c r="E201" s="155"/>
      <c r="F201" s="147"/>
      <c r="G201" s="147"/>
      <c r="H201" s="147"/>
      <c r="I201" s="147"/>
      <c r="J201" s="147"/>
      <c r="K201" s="147"/>
      <c r="L201" s="147"/>
      <c r="M201" s="147"/>
      <c r="N201" s="147"/>
      <c r="O201" s="147"/>
      <c r="P201" s="147"/>
      <c r="Q201" s="147"/>
      <c r="R201" s="147"/>
      <c r="S201" s="147"/>
      <c r="T201" s="147"/>
      <c r="U201" s="147"/>
      <c r="V201" s="147"/>
      <c r="W201" s="147"/>
      <c r="X201" s="147"/>
      <c r="Y201" s="147"/>
      <c r="Z201" s="7"/>
      <c r="AA201" s="7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</row>
    <row r="202" spans="2:39" ht="6" customHeight="1" x14ac:dyDescent="0.3">
      <c r="B202" s="155"/>
      <c r="C202" s="236"/>
      <c r="D202" s="155"/>
      <c r="E202" s="155"/>
      <c r="F202" s="147"/>
      <c r="G202" s="147"/>
      <c r="H202" s="147"/>
      <c r="I202" s="147"/>
      <c r="J202" s="147"/>
      <c r="K202" s="147"/>
      <c r="L202" s="147"/>
      <c r="M202" s="147"/>
      <c r="N202" s="147"/>
      <c r="O202" s="147"/>
      <c r="P202" s="147"/>
      <c r="Q202" s="147"/>
      <c r="R202" s="147"/>
      <c r="S202" s="147"/>
      <c r="T202" s="147"/>
      <c r="U202" s="147"/>
      <c r="V202" s="147"/>
      <c r="W202" s="147"/>
      <c r="X202" s="147"/>
      <c r="Y202" s="147"/>
      <c r="Z202" s="7"/>
      <c r="AA202" s="7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</row>
    <row r="203" spans="2:39" ht="12" x14ac:dyDescent="0.3">
      <c r="B203" s="155"/>
      <c r="C203" s="235"/>
      <c r="D203" s="228" t="s">
        <v>6</v>
      </c>
      <c r="E203" s="347" t="s">
        <v>5</v>
      </c>
      <c r="F203" s="147"/>
      <c r="G203" s="147"/>
      <c r="H203" s="147"/>
      <c r="I203" s="147"/>
      <c r="J203" s="147"/>
      <c r="K203" s="147"/>
      <c r="L203" s="147"/>
      <c r="M203" s="147"/>
      <c r="N203" s="147"/>
      <c r="O203" s="147"/>
      <c r="P203" s="147"/>
      <c r="Q203" s="147"/>
      <c r="R203" s="147"/>
      <c r="S203" s="147"/>
      <c r="T203" s="147"/>
      <c r="U203" s="147"/>
      <c r="V203" s="147"/>
      <c r="W203" s="147"/>
      <c r="X203" s="147"/>
      <c r="Y203" s="147"/>
      <c r="Z203" s="7"/>
      <c r="AA203" s="7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</row>
    <row r="204" spans="2:39" ht="3.65" customHeight="1" thickBot="1" x14ac:dyDescent="0.35">
      <c r="B204" s="155"/>
      <c r="C204" s="235"/>
      <c r="D204" s="146"/>
      <c r="E204" s="347"/>
      <c r="F204" s="147"/>
      <c r="G204" s="147"/>
      <c r="H204" s="147"/>
      <c r="I204" s="147"/>
      <c r="J204" s="147"/>
      <c r="K204" s="147"/>
      <c r="L204" s="147"/>
      <c r="M204" s="147"/>
      <c r="N204" s="147"/>
      <c r="O204" s="147"/>
      <c r="P204" s="147"/>
      <c r="Q204" s="147"/>
      <c r="R204" s="147"/>
      <c r="S204" s="147"/>
      <c r="T204" s="147"/>
      <c r="U204" s="147"/>
      <c r="V204" s="147"/>
      <c r="W204" s="147"/>
      <c r="X204" s="147"/>
      <c r="Y204" s="147"/>
      <c r="Z204" s="7"/>
      <c r="AA204" s="7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</row>
    <row r="205" spans="2:39" ht="12.5" thickBot="1" x14ac:dyDescent="0.35">
      <c r="B205" s="155"/>
      <c r="C205" s="235"/>
      <c r="D205" s="233">
        <v>2</v>
      </c>
      <c r="E205" s="347" t="s">
        <v>7</v>
      </c>
      <c r="F205" s="147"/>
      <c r="G205" s="147"/>
      <c r="H205" s="147"/>
      <c r="I205" s="147"/>
      <c r="J205" s="147"/>
      <c r="K205" s="147"/>
      <c r="L205" s="147"/>
      <c r="M205" s="147"/>
      <c r="N205" s="147"/>
      <c r="O205" s="147"/>
      <c r="P205" s="147"/>
      <c r="Q205" s="147"/>
      <c r="R205" s="147"/>
      <c r="S205" s="147"/>
      <c r="T205" s="147"/>
      <c r="U205" s="147"/>
      <c r="V205" s="147"/>
      <c r="W205" s="147"/>
      <c r="X205" s="147"/>
      <c r="Y205" s="147"/>
      <c r="Z205" s="7"/>
      <c r="AA205" s="7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</row>
    <row r="206" spans="2:39" ht="3.65" customHeight="1" x14ac:dyDescent="0.3">
      <c r="B206" s="155"/>
      <c r="C206" s="236"/>
      <c r="D206" s="155"/>
      <c r="E206" s="155"/>
      <c r="F206" s="147"/>
      <c r="G206" s="147"/>
      <c r="H206" s="147"/>
      <c r="I206" s="147"/>
      <c r="J206" s="147"/>
      <c r="K206" s="147"/>
      <c r="L206" s="147"/>
      <c r="M206" s="147"/>
      <c r="N206" s="147"/>
      <c r="O206" s="147"/>
      <c r="P206" s="147"/>
      <c r="Q206" s="147"/>
      <c r="R206" s="147"/>
      <c r="S206" s="147"/>
      <c r="T206" s="147"/>
      <c r="U206" s="147"/>
      <c r="V206" s="147"/>
      <c r="W206" s="147"/>
      <c r="X206" s="147"/>
      <c r="Y206" s="147"/>
      <c r="Z206" s="7"/>
      <c r="AA206" s="7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</row>
    <row r="207" spans="2:39" ht="12" x14ac:dyDescent="0.3">
      <c r="B207" s="155"/>
      <c r="C207" s="235"/>
      <c r="D207" s="284"/>
      <c r="E207" s="285" t="s">
        <v>534</v>
      </c>
      <c r="F207" s="147"/>
      <c r="G207" s="147"/>
      <c r="H207" s="147"/>
      <c r="I207" s="147"/>
      <c r="J207" s="147"/>
      <c r="K207" s="147"/>
      <c r="L207" s="147"/>
      <c r="M207" s="147"/>
      <c r="N207" s="147"/>
      <c r="O207" s="147"/>
      <c r="P207" s="147"/>
      <c r="Q207" s="147"/>
      <c r="R207" s="147"/>
      <c r="S207" s="147"/>
      <c r="T207" s="147"/>
      <c r="U207" s="147"/>
      <c r="V207" s="147"/>
      <c r="W207" s="147"/>
      <c r="X207" s="147"/>
      <c r="Y207" s="147"/>
      <c r="Z207" s="7"/>
      <c r="AA207" s="7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</row>
    <row r="208" spans="2:39" ht="3" customHeight="1" x14ac:dyDescent="0.3">
      <c r="B208" s="155"/>
      <c r="C208" s="235"/>
      <c r="D208" s="239"/>
      <c r="E208" s="120"/>
      <c r="F208" s="147"/>
      <c r="G208" s="147"/>
      <c r="H208" s="147"/>
      <c r="I208" s="147"/>
      <c r="J208" s="147"/>
      <c r="K208" s="147"/>
      <c r="L208" s="147"/>
      <c r="M208" s="147"/>
      <c r="N208" s="147"/>
      <c r="O208" s="147"/>
      <c r="P208" s="147"/>
      <c r="Q208" s="147"/>
      <c r="R208" s="147"/>
      <c r="S208" s="147"/>
      <c r="T208" s="147"/>
      <c r="U208" s="147"/>
      <c r="V208" s="147"/>
      <c r="W208" s="147"/>
      <c r="X208" s="147"/>
      <c r="Y208" s="147"/>
      <c r="Z208" s="7"/>
      <c r="AA208" s="7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</row>
    <row r="209" spans="2:39" ht="12" x14ac:dyDescent="0.3">
      <c r="B209" s="155"/>
      <c r="C209" s="236"/>
      <c r="D209" s="142" t="s">
        <v>691</v>
      </c>
      <c r="E209" s="285" t="s">
        <v>693</v>
      </c>
      <c r="F209" s="147"/>
      <c r="G209" s="147"/>
      <c r="H209" s="147"/>
      <c r="I209" s="147"/>
      <c r="J209" s="147"/>
      <c r="K209" s="147"/>
      <c r="L209" s="147"/>
      <c r="M209" s="147"/>
      <c r="N209" s="147"/>
      <c r="O209" s="147"/>
      <c r="P209" s="147"/>
      <c r="Q209" s="147"/>
      <c r="R209" s="147"/>
      <c r="S209" s="147"/>
      <c r="T209" s="147"/>
      <c r="U209" s="147"/>
      <c r="V209" s="147"/>
      <c r="W209" s="147"/>
      <c r="X209" s="147"/>
      <c r="Y209" s="147"/>
      <c r="Z209" s="7"/>
      <c r="AA209" s="7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</row>
    <row r="210" spans="2:39" ht="12" x14ac:dyDescent="0.3">
      <c r="B210" s="155"/>
      <c r="C210" s="236"/>
      <c r="D210" s="155"/>
      <c r="E210" s="155"/>
      <c r="F210" s="147"/>
      <c r="G210" s="147"/>
      <c r="H210" s="147"/>
      <c r="I210" s="147"/>
      <c r="J210" s="147"/>
      <c r="K210" s="147"/>
      <c r="L210" s="147"/>
      <c r="M210" s="147"/>
      <c r="N210" s="147"/>
      <c r="O210" s="147"/>
      <c r="P210" s="147"/>
      <c r="Q210" s="147"/>
      <c r="R210" s="147"/>
      <c r="S210" s="147"/>
      <c r="T210" s="147"/>
      <c r="U210" s="147"/>
      <c r="V210" s="147"/>
      <c r="W210" s="147"/>
      <c r="X210" s="147"/>
      <c r="Y210" s="147"/>
      <c r="Z210" s="7"/>
      <c r="AA210" s="7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</row>
    <row r="211" spans="2:39" ht="12" x14ac:dyDescent="0.3">
      <c r="B211" s="155"/>
      <c r="C211" s="236"/>
      <c r="D211" s="155"/>
      <c r="E211" s="155"/>
      <c r="F211" s="147"/>
      <c r="G211" s="147"/>
      <c r="H211" s="147"/>
      <c r="I211" s="147"/>
      <c r="J211" s="147"/>
      <c r="K211" s="147"/>
      <c r="L211" s="147"/>
      <c r="M211" s="147"/>
      <c r="N211" s="147"/>
      <c r="O211" s="147"/>
      <c r="P211" s="147"/>
      <c r="Q211" s="147"/>
      <c r="R211" s="147"/>
      <c r="S211" s="147"/>
      <c r="T211" s="147"/>
      <c r="U211" s="147"/>
      <c r="V211" s="147"/>
      <c r="W211" s="147"/>
      <c r="X211" s="147"/>
      <c r="Y211" s="147"/>
      <c r="Z211" s="7"/>
      <c r="AA211" s="7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</row>
    <row r="212" spans="2:39" ht="12" x14ac:dyDescent="0.3">
      <c r="B212" s="155"/>
      <c r="C212" s="236"/>
      <c r="D212" s="155"/>
      <c r="E212" s="155"/>
      <c r="F212" s="147"/>
      <c r="G212" s="147"/>
      <c r="H212" s="147"/>
      <c r="I212" s="147"/>
      <c r="J212" s="147"/>
      <c r="K212" s="147"/>
      <c r="L212" s="147"/>
      <c r="M212" s="147"/>
      <c r="N212" s="147"/>
      <c r="O212" s="147"/>
      <c r="P212" s="147"/>
      <c r="Q212" s="147"/>
      <c r="R212" s="147"/>
      <c r="S212" s="147"/>
      <c r="T212" s="147"/>
      <c r="U212" s="147"/>
      <c r="V212" s="147"/>
      <c r="W212" s="147"/>
      <c r="X212" s="147"/>
      <c r="Y212" s="147"/>
      <c r="Z212" s="7"/>
      <c r="AA212" s="7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</row>
    <row r="213" spans="2:39" ht="12" x14ac:dyDescent="0.3">
      <c r="B213" s="155"/>
      <c r="C213" s="236"/>
      <c r="D213" s="155"/>
      <c r="E213" s="155"/>
      <c r="F213" s="147"/>
      <c r="G213" s="147"/>
      <c r="H213" s="147"/>
      <c r="I213" s="147"/>
      <c r="J213" s="147"/>
      <c r="K213" s="147"/>
      <c r="L213" s="147"/>
      <c r="M213" s="147"/>
      <c r="N213" s="147"/>
      <c r="O213" s="147"/>
      <c r="P213" s="147"/>
      <c r="Q213" s="147"/>
      <c r="R213" s="147"/>
      <c r="S213" s="147"/>
      <c r="T213" s="147"/>
      <c r="U213" s="147"/>
      <c r="V213" s="147"/>
      <c r="W213" s="147"/>
      <c r="X213" s="147"/>
      <c r="Y213" s="147"/>
      <c r="Z213" s="7"/>
      <c r="AA213" s="7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</row>
    <row r="214" spans="2:39" ht="37.5" customHeight="1" x14ac:dyDescent="0.55000000000000004">
      <c r="B214" s="527" t="s">
        <v>553</v>
      </c>
      <c r="C214" s="527"/>
      <c r="D214" s="527"/>
      <c r="E214" s="527"/>
      <c r="F214" s="527"/>
      <c r="G214" s="527"/>
      <c r="H214" s="527"/>
      <c r="I214" s="527"/>
      <c r="J214" s="527"/>
      <c r="K214" s="527"/>
      <c r="L214" s="527"/>
      <c r="M214" s="527"/>
      <c r="N214" s="527"/>
      <c r="O214" s="527"/>
      <c r="P214" s="527"/>
      <c r="Q214" s="527"/>
      <c r="R214" s="527"/>
      <c r="S214" s="527"/>
      <c r="T214" s="527"/>
      <c r="U214" s="527"/>
      <c r="V214" s="527"/>
      <c r="W214" s="527"/>
      <c r="X214" s="461"/>
      <c r="Y214" s="147"/>
      <c r="Z214" s="7"/>
      <c r="AA214" s="7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</row>
    <row r="215" spans="2:39" ht="33" customHeight="1" x14ac:dyDescent="0.3">
      <c r="B215" s="531" t="s">
        <v>224</v>
      </c>
      <c r="C215" s="531"/>
      <c r="D215" s="531"/>
      <c r="E215" s="531"/>
      <c r="F215" s="531"/>
      <c r="G215" s="531"/>
      <c r="H215" s="531"/>
      <c r="I215" s="531"/>
      <c r="J215" s="531"/>
      <c r="K215" s="531"/>
      <c r="L215" s="531"/>
      <c r="M215" s="531"/>
      <c r="N215" s="531"/>
      <c r="O215" s="531"/>
      <c r="P215" s="531"/>
      <c r="Q215" s="531"/>
      <c r="R215" s="531"/>
      <c r="S215" s="531"/>
      <c r="T215" s="531"/>
      <c r="U215" s="531"/>
      <c r="V215" s="531"/>
      <c r="W215" s="531"/>
      <c r="X215" s="167"/>
      <c r="Y215" s="147"/>
      <c r="Z215" s="7"/>
      <c r="AA215" s="7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</row>
    <row r="216" spans="2:39" ht="15.5" x14ac:dyDescent="0.3">
      <c r="B216" s="162"/>
      <c r="C216" s="168"/>
      <c r="D216" s="161"/>
      <c r="E216" s="161"/>
      <c r="F216" s="222" t="s">
        <v>220</v>
      </c>
      <c r="G216" s="223"/>
      <c r="H216" s="224"/>
      <c r="I216" s="222" t="s">
        <v>663</v>
      </c>
      <c r="J216" s="225"/>
      <c r="K216" s="226"/>
      <c r="L216" s="222" t="s">
        <v>532</v>
      </c>
      <c r="M216" s="225"/>
      <c r="N216" s="226"/>
      <c r="O216" s="222" t="s">
        <v>526</v>
      </c>
      <c r="P216" s="225"/>
      <c r="Q216" s="226"/>
      <c r="R216" s="222" t="s">
        <v>287</v>
      </c>
      <c r="S216" s="225"/>
      <c r="T216" s="226"/>
      <c r="U216" s="413" t="s">
        <v>527</v>
      </c>
      <c r="V216" s="226"/>
      <c r="W216" s="226"/>
      <c r="X216" s="161" t="s">
        <v>213</v>
      </c>
      <c r="Y216" s="147"/>
      <c r="Z216" s="7"/>
      <c r="AA216" s="7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</row>
    <row r="217" spans="2:39" ht="15.5" x14ac:dyDescent="0.3">
      <c r="B217" s="159" t="s">
        <v>0</v>
      </c>
      <c r="C217" s="170" t="s">
        <v>1</v>
      </c>
      <c r="D217" s="160" t="s">
        <v>2</v>
      </c>
      <c r="E217" s="160" t="s">
        <v>3</v>
      </c>
      <c r="F217" s="217" t="s">
        <v>523</v>
      </c>
      <c r="G217" s="218"/>
      <c r="H217" s="219"/>
      <c r="I217" s="217" t="s">
        <v>525</v>
      </c>
      <c r="J217" s="220"/>
      <c r="K217" s="221"/>
      <c r="L217" s="217" t="s">
        <v>664</v>
      </c>
      <c r="M217" s="220"/>
      <c r="N217" s="221"/>
      <c r="O217" s="217" t="s">
        <v>529</v>
      </c>
      <c r="P217" s="220"/>
      <c r="Q217" s="221"/>
      <c r="R217" s="217" t="s">
        <v>530</v>
      </c>
      <c r="S217" s="220"/>
      <c r="T217" s="221"/>
      <c r="U217" s="414" t="s">
        <v>528</v>
      </c>
      <c r="V217" s="255"/>
      <c r="W217" s="415"/>
      <c r="X217" s="160" t="s">
        <v>9</v>
      </c>
      <c r="Y217" s="147"/>
      <c r="Z217" s="7"/>
      <c r="AA217" s="7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</row>
    <row r="218" spans="2:39" ht="13" x14ac:dyDescent="0.3">
      <c r="B218" s="163"/>
      <c r="C218" s="501"/>
      <c r="D218" s="157"/>
      <c r="E218" s="157"/>
      <c r="F218" s="131" t="s">
        <v>33</v>
      </c>
      <c r="G218" s="131" t="s">
        <v>34</v>
      </c>
      <c r="H218" s="132" t="s">
        <v>35</v>
      </c>
      <c r="I218" s="131" t="s">
        <v>33</v>
      </c>
      <c r="J218" s="131" t="s">
        <v>34</v>
      </c>
      <c r="K218" s="132" t="s">
        <v>35</v>
      </c>
      <c r="L218" s="131" t="s">
        <v>33</v>
      </c>
      <c r="M218" s="131" t="s">
        <v>34</v>
      </c>
      <c r="N218" s="132" t="s">
        <v>35</v>
      </c>
      <c r="O218" s="131" t="s">
        <v>33</v>
      </c>
      <c r="P218" s="131" t="s">
        <v>34</v>
      </c>
      <c r="Q218" s="132" t="s">
        <v>35</v>
      </c>
      <c r="R218" s="131" t="s">
        <v>33</v>
      </c>
      <c r="S218" s="131" t="s">
        <v>34</v>
      </c>
      <c r="T218" s="132" t="s">
        <v>35</v>
      </c>
      <c r="U218" s="131" t="s">
        <v>33</v>
      </c>
      <c r="V218" s="131" t="s">
        <v>34</v>
      </c>
      <c r="W218" s="132" t="s">
        <v>35</v>
      </c>
      <c r="X218" s="157"/>
      <c r="Y218" s="147"/>
      <c r="Z218" s="7"/>
      <c r="AA218" s="7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</row>
    <row r="219" spans="2:39" ht="13" x14ac:dyDescent="0.3">
      <c r="B219" s="499">
        <v>1</v>
      </c>
      <c r="C219" s="509" t="s">
        <v>597</v>
      </c>
      <c r="D219" s="500">
        <v>5</v>
      </c>
      <c r="E219" s="137"/>
      <c r="F219" s="135">
        <f>IFERROR(VLOOKUP(C219,'01_RS ALCARRIA'!$D$6:$M$36,10,FALSE),"")</f>
        <v>4</v>
      </c>
      <c r="G219" s="135">
        <f>IFERROR(VLOOKUP(C219,'01_RS ALCARRIA'!$D$6:$O$36,12,FALSE),"")</f>
        <v>10</v>
      </c>
      <c r="H219" s="138">
        <f>(F219+G219)*2</f>
        <v>28</v>
      </c>
      <c r="I219" s="135">
        <f>IFERROR(VLOOKUP(C219,'02_TCT GUADAMUR'!$D$6:$M$36,10,FALSE),"")</f>
        <v>8</v>
      </c>
      <c r="J219" s="135">
        <f>IFERROR(VLOOKUP(C219,'02_TCT GUADAMUR'!$D$6:$O$36,12,FALSE),"")</f>
        <v>10</v>
      </c>
      <c r="K219" s="138">
        <f>(I219+J219)</f>
        <v>18</v>
      </c>
      <c r="L219" s="135"/>
      <c r="M219" s="135"/>
      <c r="N219" s="138"/>
      <c r="O219" s="135"/>
      <c r="P219" s="135"/>
      <c r="Q219" s="138"/>
      <c r="R219" s="135"/>
      <c r="S219" s="135"/>
      <c r="T219" s="138"/>
      <c r="U219" s="135"/>
      <c r="V219" s="135"/>
      <c r="W219" s="138"/>
      <c r="X219" s="139">
        <f>H219+K219+N219+Q219+T219+W219</f>
        <v>46</v>
      </c>
      <c r="Y219" s="147"/>
      <c r="Z219" s="7"/>
      <c r="AA219" s="7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</row>
    <row r="220" spans="2:39" ht="13" x14ac:dyDescent="0.3">
      <c r="B220" s="499">
        <v>2</v>
      </c>
      <c r="C220" s="509" t="s">
        <v>408</v>
      </c>
      <c r="D220" s="500">
        <v>5</v>
      </c>
      <c r="E220" s="137"/>
      <c r="F220" s="135">
        <v>0</v>
      </c>
      <c r="G220" s="135">
        <v>0</v>
      </c>
      <c r="H220" s="138">
        <f>(F220+G220)*2</f>
        <v>0</v>
      </c>
      <c r="I220" s="135">
        <f>IFERROR(VLOOKUP(C220,'02_TCT GUADAMUR'!$D$6:$M$36,10,FALSE),"")</f>
        <v>0</v>
      </c>
      <c r="J220" s="135">
        <f>IFERROR(VLOOKUP(C220,'02_TCT GUADAMUR'!$D$6:$O$36,12,FALSE),"")</f>
        <v>6</v>
      </c>
      <c r="K220" s="138">
        <f>(I220+J220)</f>
        <v>6</v>
      </c>
      <c r="L220" s="135">
        <f>IFERROR(VLOOKUP(C220,'03_TCT MAQUEDA'!$D$6:$M$36,10,FALSE),"")</f>
        <v>10</v>
      </c>
      <c r="M220" s="284">
        <f>IFERROR(VLOOKUP(C220,'03_TCT MAQUEDA'!$D$6:$O$36,12,FALSE),"")/2</f>
        <v>5</v>
      </c>
      <c r="N220" s="138">
        <f>(L220+M220)</f>
        <v>15</v>
      </c>
      <c r="O220" s="135"/>
      <c r="P220" s="135"/>
      <c r="Q220" s="138"/>
      <c r="R220" s="135"/>
      <c r="S220" s="135"/>
      <c r="T220" s="138"/>
      <c r="U220" s="135"/>
      <c r="V220" s="135"/>
      <c r="W220" s="138"/>
      <c r="X220" s="139">
        <f>H220+K220+N220+Q220+T220+W220</f>
        <v>21</v>
      </c>
      <c r="Y220" s="147"/>
      <c r="Z220" s="7"/>
      <c r="AA220" s="7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</row>
    <row r="221" spans="2:39" ht="13" x14ac:dyDescent="0.3">
      <c r="B221" s="499">
        <v>3</v>
      </c>
      <c r="C221" s="509" t="s">
        <v>626</v>
      </c>
      <c r="D221" s="500">
        <v>5</v>
      </c>
      <c r="E221" s="137"/>
      <c r="F221" s="135">
        <v>0</v>
      </c>
      <c r="G221" s="135">
        <v>0</v>
      </c>
      <c r="H221" s="138">
        <f>(F221+G221)*2</f>
        <v>0</v>
      </c>
      <c r="I221" s="135">
        <f>IFERROR(VLOOKUP(C221,'02_TCT GUADAMUR'!$D$6:$M$36,10,FALSE),"")</f>
        <v>4</v>
      </c>
      <c r="J221" s="135">
        <f>IFERROR(VLOOKUP(C221,'02_TCT GUADAMUR'!$D$6:$O$36,12,FALSE),"")</f>
        <v>8</v>
      </c>
      <c r="K221" s="138">
        <f>(I221+J221)</f>
        <v>12</v>
      </c>
      <c r="L221" s="135"/>
      <c r="M221" s="135"/>
      <c r="N221" s="138"/>
      <c r="O221" s="135"/>
      <c r="P221" s="135"/>
      <c r="Q221" s="138"/>
      <c r="R221" s="135"/>
      <c r="S221" s="135"/>
      <c r="T221" s="138"/>
      <c r="U221" s="135"/>
      <c r="V221" s="135"/>
      <c r="W221" s="138"/>
      <c r="X221" s="139">
        <f>H221+K221+N221+Q221+T221+W221</f>
        <v>12</v>
      </c>
      <c r="Y221" s="147"/>
      <c r="Z221" s="7"/>
      <c r="AA221" s="7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</row>
    <row r="222" spans="2:39" ht="13" x14ac:dyDescent="0.3">
      <c r="B222" s="499">
        <v>4</v>
      </c>
      <c r="C222" s="509" t="s">
        <v>698</v>
      </c>
      <c r="D222" s="500">
        <v>5</v>
      </c>
      <c r="E222" s="137"/>
      <c r="F222" s="135"/>
      <c r="G222" s="135"/>
      <c r="H222" s="138"/>
      <c r="I222" s="135"/>
      <c r="J222" s="135"/>
      <c r="K222" s="138"/>
      <c r="L222" s="135">
        <f>IFERROR(VLOOKUP(C222,'03_TCT MAQUEDA'!$D$6:$M$36,10,FALSE),"")</f>
        <v>3</v>
      </c>
      <c r="M222" s="284">
        <f>IFERROR(VLOOKUP(C222,'03_TCT MAQUEDA'!$D$6:$O$36,12,FALSE),"")/2</f>
        <v>4</v>
      </c>
      <c r="N222" s="138">
        <f>(L222+M222)</f>
        <v>7</v>
      </c>
      <c r="O222" s="135"/>
      <c r="P222" s="135"/>
      <c r="Q222" s="138"/>
      <c r="R222" s="135"/>
      <c r="S222" s="135"/>
      <c r="T222" s="138"/>
      <c r="U222" s="135"/>
      <c r="V222" s="135"/>
      <c r="W222" s="138"/>
      <c r="X222" s="139">
        <f>H222+K222+N222+Q222+T222+W222</f>
        <v>7</v>
      </c>
      <c r="Y222" s="147"/>
      <c r="Z222" s="7"/>
      <c r="AA222" s="7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</row>
    <row r="223" spans="2:39" ht="13" x14ac:dyDescent="0.3">
      <c r="B223" s="499" t="s">
        <v>658</v>
      </c>
      <c r="C223" s="509" t="s">
        <v>635</v>
      </c>
      <c r="D223" s="500">
        <v>5</v>
      </c>
      <c r="E223" s="137"/>
      <c r="F223" s="135">
        <v>0</v>
      </c>
      <c r="G223" s="135">
        <v>0</v>
      </c>
      <c r="H223" s="138">
        <f>(F223+G223)*2</f>
        <v>0</v>
      </c>
      <c r="I223" s="135"/>
      <c r="J223" s="135"/>
      <c r="K223" s="138"/>
      <c r="L223" s="135"/>
      <c r="M223" s="135"/>
      <c r="N223" s="138"/>
      <c r="O223" s="135"/>
      <c r="P223" s="135"/>
      <c r="Q223" s="138"/>
      <c r="R223" s="135"/>
      <c r="S223" s="135"/>
      <c r="T223" s="138"/>
      <c r="U223" s="135"/>
      <c r="V223" s="135"/>
      <c r="W223" s="138"/>
      <c r="X223" s="139">
        <f>H223+K223+N223+Q223+T223+W223</f>
        <v>0</v>
      </c>
      <c r="Y223" s="147"/>
      <c r="Z223" s="7"/>
      <c r="AA223" s="7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</row>
    <row r="224" spans="2:39" ht="12" x14ac:dyDescent="0.3">
      <c r="B224" s="155"/>
      <c r="C224" s="236"/>
      <c r="D224" s="155"/>
      <c r="E224" s="155"/>
      <c r="F224" s="147"/>
      <c r="G224" s="147"/>
      <c r="H224" s="147"/>
      <c r="I224" s="147"/>
      <c r="J224" s="147"/>
      <c r="K224" s="147"/>
      <c r="L224" s="147"/>
      <c r="M224" s="147"/>
      <c r="N224" s="147"/>
      <c r="O224" s="147"/>
      <c r="P224" s="147"/>
      <c r="Q224" s="147"/>
      <c r="R224" s="147"/>
      <c r="S224" s="147"/>
      <c r="T224" s="147"/>
      <c r="U224" s="147"/>
      <c r="V224" s="147"/>
      <c r="W224" s="147"/>
      <c r="X224" s="147"/>
      <c r="Y224" s="147"/>
      <c r="Z224" s="7"/>
      <c r="AA224" s="7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</row>
    <row r="225" spans="2:39" ht="12" x14ac:dyDescent="0.3">
      <c r="B225" s="155"/>
      <c r="C225" s="236"/>
      <c r="D225" s="284"/>
      <c r="E225" s="285" t="s">
        <v>534</v>
      </c>
      <c r="F225" s="147"/>
      <c r="G225" s="147"/>
      <c r="H225" s="147"/>
      <c r="I225" s="147"/>
      <c r="J225" s="147"/>
      <c r="K225" s="147"/>
      <c r="L225" s="147"/>
      <c r="M225" s="147"/>
      <c r="N225" s="147"/>
      <c r="O225" s="147"/>
      <c r="P225" s="147"/>
      <c r="Q225" s="147"/>
      <c r="R225" s="147"/>
      <c r="S225" s="147"/>
      <c r="T225" s="147"/>
      <c r="U225" s="147"/>
      <c r="V225" s="147"/>
      <c r="W225" s="147"/>
      <c r="X225" s="147"/>
      <c r="Y225" s="147"/>
      <c r="Z225" s="7"/>
      <c r="AA225" s="7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</row>
    <row r="226" spans="2:39" ht="12" x14ac:dyDescent="0.3">
      <c r="B226" s="155"/>
      <c r="C226" s="236"/>
      <c r="D226" s="155"/>
      <c r="E226" s="155"/>
      <c r="F226" s="147"/>
      <c r="G226" s="147"/>
      <c r="H226" s="147"/>
      <c r="I226" s="147"/>
      <c r="J226" s="147"/>
      <c r="K226" s="147"/>
      <c r="L226" s="147"/>
      <c r="M226" s="147"/>
      <c r="N226" s="147"/>
      <c r="O226" s="147"/>
      <c r="P226" s="147"/>
      <c r="Q226" s="147"/>
      <c r="R226" s="147"/>
      <c r="S226" s="147"/>
      <c r="T226" s="147"/>
      <c r="U226" s="147"/>
      <c r="V226" s="147"/>
      <c r="W226" s="147"/>
      <c r="X226" s="147"/>
      <c r="Y226" s="147"/>
      <c r="Z226" s="7"/>
      <c r="AA226" s="7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</row>
    <row r="227" spans="2:39" ht="37.5" customHeight="1" x14ac:dyDescent="0.55000000000000004">
      <c r="B227" s="527" t="s">
        <v>553</v>
      </c>
      <c r="C227" s="527"/>
      <c r="D227" s="527"/>
      <c r="E227" s="527"/>
      <c r="F227" s="527"/>
      <c r="G227" s="527"/>
      <c r="H227" s="527"/>
      <c r="I227" s="527"/>
      <c r="J227" s="527"/>
      <c r="K227" s="527"/>
      <c r="L227" s="527"/>
      <c r="M227" s="527"/>
      <c r="N227" s="527"/>
      <c r="O227" s="527"/>
      <c r="P227" s="527"/>
      <c r="Q227" s="527"/>
      <c r="R227" s="527"/>
      <c r="S227" s="527"/>
      <c r="T227" s="527"/>
      <c r="U227" s="527"/>
      <c r="V227" s="527"/>
      <c r="W227" s="527"/>
      <c r="X227" s="461"/>
      <c r="Y227" s="147"/>
      <c r="Z227" s="7"/>
      <c r="AA227" s="7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</row>
    <row r="228" spans="2:39" ht="33" customHeight="1" x14ac:dyDescent="0.3">
      <c r="B228" s="531" t="s">
        <v>338</v>
      </c>
      <c r="C228" s="531"/>
      <c r="D228" s="531"/>
      <c r="E228" s="531"/>
      <c r="F228" s="531"/>
      <c r="G228" s="531"/>
      <c r="H228" s="531"/>
      <c r="I228" s="531"/>
      <c r="J228" s="531"/>
      <c r="K228" s="531"/>
      <c r="L228" s="531"/>
      <c r="M228" s="531"/>
      <c r="N228" s="531"/>
      <c r="O228" s="531"/>
      <c r="P228" s="531"/>
      <c r="Q228" s="531"/>
      <c r="R228" s="531"/>
      <c r="S228" s="531"/>
      <c r="T228" s="531"/>
      <c r="U228" s="531"/>
      <c r="V228" s="531"/>
      <c r="W228" s="531"/>
      <c r="X228" s="167"/>
      <c r="Y228" s="147"/>
      <c r="Z228" s="7"/>
      <c r="AA228" s="7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</row>
    <row r="229" spans="2:39" ht="15.5" x14ac:dyDescent="0.3">
      <c r="B229" s="162"/>
      <c r="C229" s="168"/>
      <c r="D229" s="161"/>
      <c r="E229" s="161"/>
      <c r="F229" s="222" t="s">
        <v>220</v>
      </c>
      <c r="G229" s="223"/>
      <c r="H229" s="224"/>
      <c r="I229" s="222" t="s">
        <v>663</v>
      </c>
      <c r="J229" s="225"/>
      <c r="K229" s="226"/>
      <c r="L229" s="222" t="s">
        <v>532</v>
      </c>
      <c r="M229" s="225"/>
      <c r="N229" s="226"/>
      <c r="O229" s="222" t="s">
        <v>526</v>
      </c>
      <c r="P229" s="225"/>
      <c r="Q229" s="226"/>
      <c r="R229" s="222" t="s">
        <v>287</v>
      </c>
      <c r="S229" s="225"/>
      <c r="T229" s="226"/>
      <c r="U229" s="413" t="s">
        <v>527</v>
      </c>
      <c r="V229" s="226"/>
      <c r="W229" s="226"/>
      <c r="X229" s="161" t="s">
        <v>213</v>
      </c>
      <c r="Y229" s="147"/>
      <c r="Z229" s="7"/>
      <c r="AA229" s="7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</row>
    <row r="230" spans="2:39" ht="15.5" x14ac:dyDescent="0.3">
      <c r="B230" s="159" t="s">
        <v>0</v>
      </c>
      <c r="C230" s="170" t="s">
        <v>166</v>
      </c>
      <c r="D230" s="160" t="s">
        <v>2</v>
      </c>
      <c r="E230" s="160" t="s">
        <v>3</v>
      </c>
      <c r="F230" s="217" t="s">
        <v>523</v>
      </c>
      <c r="G230" s="218"/>
      <c r="H230" s="219"/>
      <c r="I230" s="217" t="s">
        <v>525</v>
      </c>
      <c r="J230" s="220"/>
      <c r="K230" s="221"/>
      <c r="L230" s="217" t="s">
        <v>664</v>
      </c>
      <c r="M230" s="220"/>
      <c r="N230" s="221"/>
      <c r="O230" s="217" t="s">
        <v>529</v>
      </c>
      <c r="P230" s="220"/>
      <c r="Q230" s="221"/>
      <c r="R230" s="217" t="s">
        <v>530</v>
      </c>
      <c r="S230" s="220"/>
      <c r="T230" s="221"/>
      <c r="U230" s="414" t="s">
        <v>528</v>
      </c>
      <c r="V230" s="255"/>
      <c r="W230" s="415"/>
      <c r="X230" s="160" t="s">
        <v>9</v>
      </c>
      <c r="Y230" s="147"/>
      <c r="Z230" s="7"/>
      <c r="AA230" s="7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</row>
    <row r="231" spans="2:39" ht="13" x14ac:dyDescent="0.3">
      <c r="B231" s="163"/>
      <c r="C231" s="501"/>
      <c r="D231" s="157"/>
      <c r="E231" s="157"/>
      <c r="F231" s="131" t="s">
        <v>33</v>
      </c>
      <c r="G231" s="131" t="s">
        <v>34</v>
      </c>
      <c r="H231" s="132" t="s">
        <v>35</v>
      </c>
      <c r="I231" s="131" t="s">
        <v>33</v>
      </c>
      <c r="J231" s="131" t="s">
        <v>34</v>
      </c>
      <c r="K231" s="132" t="s">
        <v>35</v>
      </c>
      <c r="L231" s="131" t="s">
        <v>33</v>
      </c>
      <c r="M231" s="131" t="s">
        <v>34</v>
      </c>
      <c r="N231" s="132" t="s">
        <v>35</v>
      </c>
      <c r="O231" s="131" t="s">
        <v>33</v>
      </c>
      <c r="P231" s="131" t="s">
        <v>34</v>
      </c>
      <c r="Q231" s="132" t="s">
        <v>35</v>
      </c>
      <c r="R231" s="131" t="s">
        <v>33</v>
      </c>
      <c r="S231" s="131" t="s">
        <v>34</v>
      </c>
      <c r="T231" s="132" t="s">
        <v>35</v>
      </c>
      <c r="U231" s="131" t="s">
        <v>33</v>
      </c>
      <c r="V231" s="131" t="s">
        <v>34</v>
      </c>
      <c r="W231" s="132" t="s">
        <v>35</v>
      </c>
      <c r="X231" s="157"/>
      <c r="Y231" s="147"/>
      <c r="Z231" s="7"/>
      <c r="AA231" s="7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</row>
    <row r="232" spans="2:39" ht="13" x14ac:dyDescent="0.3">
      <c r="B232" s="133">
        <v>1</v>
      </c>
      <c r="C232" s="509" t="s">
        <v>598</v>
      </c>
      <c r="D232" s="227">
        <v>5</v>
      </c>
      <c r="E232" s="137"/>
      <c r="F232" s="135">
        <f>IFERROR(VLOOKUP(C232,'01_RS ALCARRIA'!$F$6:$R$36,13,FALSE),"")</f>
        <v>6</v>
      </c>
      <c r="G232" s="135">
        <f>IFERROR(VLOOKUP(C232,'01_RS ALCARRIA'!$F$6:$T$36,15,FALSE),"")</f>
        <v>10</v>
      </c>
      <c r="H232" s="138">
        <f>(F232+G232)*2</f>
        <v>32</v>
      </c>
      <c r="I232" s="135">
        <f>IFERROR(VLOOKUP(C232,'02_TCT GUADAMUR'!$F$6:$R$36,13,FALSE),"")</f>
        <v>10</v>
      </c>
      <c r="J232" s="135">
        <f>IFERROR(VLOOKUP(C232,'02_TCT GUADAMUR'!$F$6:$T$36,15,FALSE),"")</f>
        <v>10</v>
      </c>
      <c r="K232" s="138">
        <f>(I232+J232)</f>
        <v>20</v>
      </c>
      <c r="L232" s="135"/>
      <c r="M232" s="135"/>
      <c r="N232" s="138"/>
      <c r="O232" s="135"/>
      <c r="P232" s="135"/>
      <c r="Q232" s="138"/>
      <c r="R232" s="135"/>
      <c r="S232" s="135"/>
      <c r="T232" s="138"/>
      <c r="U232" s="135"/>
      <c r="V232" s="135"/>
      <c r="W232" s="138"/>
      <c r="X232" s="139">
        <f>H232+K232+N232+Q232+T232+W232</f>
        <v>52</v>
      </c>
      <c r="Y232" s="147"/>
      <c r="Z232" s="7"/>
      <c r="AA232" s="7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</row>
    <row r="233" spans="2:39" ht="13" x14ac:dyDescent="0.3">
      <c r="B233" s="133">
        <v>2</v>
      </c>
      <c r="C233" s="509" t="s">
        <v>631</v>
      </c>
      <c r="D233" s="227">
        <v>5</v>
      </c>
      <c r="E233" s="137"/>
      <c r="F233" s="135">
        <v>0</v>
      </c>
      <c r="G233" s="135">
        <v>0</v>
      </c>
      <c r="H233" s="138">
        <f>(F233+G233)*2</f>
        <v>0</v>
      </c>
      <c r="I233" s="135">
        <f>IFERROR(VLOOKUP(C233,'02_TCT GUADAMUR'!$F$6:$R$36,13,FALSE),"")</f>
        <v>0</v>
      </c>
      <c r="J233" s="135">
        <f>IFERROR(VLOOKUP(C233,'02_TCT GUADAMUR'!$F$6:$T$36,15,FALSE),"")</f>
        <v>6</v>
      </c>
      <c r="K233" s="138">
        <f>(I233+J233)</f>
        <v>6</v>
      </c>
      <c r="L233" s="135">
        <f>IFERROR(VLOOKUP(C233,'03_TCT MAQUEDA'!$F$6:$R$36,13,FALSE),"")</f>
        <v>10</v>
      </c>
      <c r="M233" s="284">
        <f>IFERROR(VLOOKUP(C233,'03_TCT MAQUEDA'!$F$6:$T$36,15,FALSE),"")/2</f>
        <v>5</v>
      </c>
      <c r="N233" s="138">
        <f>(L233+M233)</f>
        <v>15</v>
      </c>
      <c r="O233" s="135"/>
      <c r="P233" s="135"/>
      <c r="Q233" s="138"/>
      <c r="R233" s="135"/>
      <c r="S233" s="135"/>
      <c r="T233" s="138"/>
      <c r="U233" s="135"/>
      <c r="V233" s="135"/>
      <c r="W233" s="138"/>
      <c r="X233" s="139">
        <f>H233+K233+N233+Q233+T233+W233</f>
        <v>21</v>
      </c>
      <c r="Y233" s="147"/>
      <c r="Z233" s="7"/>
      <c r="AA233" s="7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</row>
    <row r="234" spans="2:39" ht="13" x14ac:dyDescent="0.3">
      <c r="B234" s="133">
        <v>3</v>
      </c>
      <c r="C234" s="509" t="s">
        <v>627</v>
      </c>
      <c r="D234" s="227">
        <v>5</v>
      </c>
      <c r="E234" s="137"/>
      <c r="F234" s="135">
        <v>0</v>
      </c>
      <c r="G234" s="135">
        <v>0</v>
      </c>
      <c r="H234" s="138">
        <f>(F234+G234)*2</f>
        <v>0</v>
      </c>
      <c r="I234" s="135">
        <f>IFERROR(VLOOKUP(C234,'02_TCT GUADAMUR'!$F$6:$R$36,13,FALSE),"")</f>
        <v>5</v>
      </c>
      <c r="J234" s="135">
        <f>IFERROR(VLOOKUP(C234,'02_TCT GUADAMUR'!$F$6:$T$36,15,FALSE),"")</f>
        <v>8</v>
      </c>
      <c r="K234" s="138">
        <f>(I234+J234)</f>
        <v>13</v>
      </c>
      <c r="L234" s="135"/>
      <c r="M234" s="135"/>
      <c r="N234" s="138"/>
      <c r="O234" s="135"/>
      <c r="P234" s="135"/>
      <c r="Q234" s="138"/>
      <c r="R234" s="135"/>
      <c r="S234" s="135"/>
      <c r="T234" s="138"/>
      <c r="U234" s="135"/>
      <c r="V234" s="135"/>
      <c r="W234" s="138"/>
      <c r="X234" s="139">
        <f>H234+K234+N234+Q234+T234+W234</f>
        <v>13</v>
      </c>
      <c r="Y234" s="147"/>
      <c r="Z234" s="7"/>
      <c r="AA234" s="7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</row>
    <row r="235" spans="2:39" ht="13" x14ac:dyDescent="0.3">
      <c r="B235" s="133">
        <v>4</v>
      </c>
      <c r="C235" s="509" t="s">
        <v>699</v>
      </c>
      <c r="D235" s="227">
        <v>5</v>
      </c>
      <c r="E235" s="137"/>
      <c r="F235" s="135"/>
      <c r="G235" s="135"/>
      <c r="H235" s="138"/>
      <c r="I235" s="135"/>
      <c r="J235" s="135"/>
      <c r="K235" s="138"/>
      <c r="L235" s="135">
        <f>IFERROR(VLOOKUP(C235,'03_TCT MAQUEDA'!$F$6:$R$36,13,FALSE),"")</f>
        <v>4</v>
      </c>
      <c r="M235" s="284">
        <f>IFERROR(VLOOKUP(C235,'03_TCT MAQUEDA'!$F$6:$T$36,15,FALSE),"")/2</f>
        <v>4</v>
      </c>
      <c r="N235" s="138">
        <f>(L235+M235)</f>
        <v>8</v>
      </c>
      <c r="O235" s="135"/>
      <c r="P235" s="135"/>
      <c r="Q235" s="138"/>
      <c r="R235" s="135"/>
      <c r="S235" s="135"/>
      <c r="T235" s="138"/>
      <c r="U235" s="135"/>
      <c r="V235" s="135"/>
      <c r="W235" s="138"/>
      <c r="X235" s="139">
        <f>H235+K235+N235+Q235+T235+W235</f>
        <v>8</v>
      </c>
      <c r="Y235" s="147"/>
      <c r="Z235" s="7"/>
      <c r="AA235" s="7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</row>
    <row r="236" spans="2:39" ht="13" x14ac:dyDescent="0.3">
      <c r="B236" s="133" t="s">
        <v>658</v>
      </c>
      <c r="C236" s="509" t="s">
        <v>636</v>
      </c>
      <c r="D236" s="227">
        <v>5</v>
      </c>
      <c r="E236" s="137"/>
      <c r="F236" s="135">
        <v>0</v>
      </c>
      <c r="G236" s="135">
        <v>0</v>
      </c>
      <c r="H236" s="138">
        <f>(F236+G236)*2</f>
        <v>0</v>
      </c>
      <c r="I236" s="135"/>
      <c r="J236" s="135"/>
      <c r="K236" s="138"/>
      <c r="L236" s="135"/>
      <c r="M236" s="135"/>
      <c r="N236" s="138"/>
      <c r="O236" s="135"/>
      <c r="P236" s="135"/>
      <c r="Q236" s="138"/>
      <c r="R236" s="135"/>
      <c r="S236" s="135"/>
      <c r="T236" s="138"/>
      <c r="U236" s="135"/>
      <c r="V236" s="135"/>
      <c r="W236" s="138"/>
      <c r="X236" s="139">
        <f>H236+K236+N236+Q236+T236+W236</f>
        <v>0</v>
      </c>
      <c r="Y236" s="147"/>
      <c r="Z236" s="7"/>
      <c r="AA236" s="7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</row>
    <row r="237" spans="2:39" ht="12" x14ac:dyDescent="0.3">
      <c r="B237" s="155"/>
      <c r="C237" s="236"/>
      <c r="D237" s="155"/>
      <c r="E237" s="155"/>
      <c r="F237" s="147"/>
      <c r="G237" s="147"/>
      <c r="H237" s="147"/>
      <c r="I237" s="147"/>
      <c r="J237" s="147"/>
      <c r="K237" s="147"/>
      <c r="L237" s="147"/>
      <c r="M237" s="147"/>
      <c r="N237" s="147"/>
      <c r="O237" s="147"/>
      <c r="P237" s="147"/>
      <c r="Q237" s="147"/>
      <c r="R237" s="147"/>
      <c r="S237" s="147"/>
      <c r="T237" s="147"/>
      <c r="U237" s="147"/>
      <c r="V237" s="147"/>
      <c r="W237" s="147"/>
      <c r="X237" s="147"/>
      <c r="Y237" s="147"/>
      <c r="Z237" s="7"/>
      <c r="AA237" s="7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</row>
    <row r="238" spans="2:39" ht="12" x14ac:dyDescent="0.3">
      <c r="B238" s="155"/>
      <c r="C238" s="236"/>
      <c r="D238" s="284"/>
      <c r="E238" s="285" t="s">
        <v>534</v>
      </c>
      <c r="F238" s="147"/>
      <c r="G238" s="147"/>
      <c r="H238" s="147"/>
      <c r="I238" s="147"/>
      <c r="J238" s="147"/>
      <c r="K238" s="147"/>
      <c r="L238" s="147"/>
      <c r="M238" s="147"/>
      <c r="N238" s="147"/>
      <c r="O238" s="147"/>
      <c r="P238" s="147"/>
      <c r="Q238" s="147"/>
      <c r="R238" s="147"/>
      <c r="S238" s="147"/>
      <c r="T238" s="147"/>
      <c r="U238" s="147"/>
      <c r="V238" s="147"/>
      <c r="W238" s="147"/>
      <c r="X238" s="147"/>
      <c r="Y238" s="147"/>
      <c r="Z238" s="7"/>
      <c r="AA238" s="7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</row>
    <row r="239" spans="2:39" ht="12" x14ac:dyDescent="0.3">
      <c r="B239" s="155"/>
      <c r="C239" s="236"/>
      <c r="D239" s="155"/>
      <c r="E239" s="155"/>
      <c r="F239" s="147"/>
      <c r="G239" s="147"/>
      <c r="H239" s="147"/>
      <c r="I239" s="147"/>
      <c r="J239" s="147"/>
      <c r="K239" s="147"/>
      <c r="L239" s="147"/>
      <c r="M239" s="147"/>
      <c r="N239" s="147"/>
      <c r="O239" s="147"/>
      <c r="P239" s="147"/>
      <c r="Q239" s="147"/>
      <c r="R239" s="147"/>
      <c r="S239" s="147"/>
      <c r="T239" s="147"/>
      <c r="U239" s="147"/>
      <c r="V239" s="147"/>
      <c r="W239" s="147"/>
      <c r="X239" s="147"/>
      <c r="Y239" s="147"/>
      <c r="Z239" s="7"/>
      <c r="AA239" s="7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</row>
    <row r="240" spans="2:39" ht="12" x14ac:dyDescent="0.3">
      <c r="B240" s="155"/>
      <c r="C240" s="236"/>
      <c r="D240" s="155"/>
      <c r="E240" s="155"/>
      <c r="F240" s="147"/>
      <c r="G240" s="147"/>
      <c r="H240" s="147"/>
      <c r="I240" s="147"/>
      <c r="J240" s="147"/>
      <c r="K240" s="147"/>
      <c r="L240" s="147"/>
      <c r="M240" s="147"/>
      <c r="N240" s="147"/>
      <c r="O240" s="147"/>
      <c r="P240" s="147"/>
      <c r="Q240" s="147"/>
      <c r="R240" s="147"/>
      <c r="S240" s="147"/>
      <c r="T240" s="147"/>
      <c r="U240" s="147"/>
      <c r="V240" s="147"/>
      <c r="W240" s="147"/>
      <c r="X240" s="147"/>
      <c r="Y240" s="147"/>
      <c r="Z240" s="7"/>
      <c r="AA240" s="7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</row>
    <row r="241" spans="2:39" ht="12" x14ac:dyDescent="0.3">
      <c r="B241" s="155"/>
      <c r="C241" s="236"/>
      <c r="D241" s="155"/>
      <c r="E241" s="155"/>
      <c r="F241" s="147"/>
      <c r="G241" s="147"/>
      <c r="H241" s="147"/>
      <c r="I241" s="147"/>
      <c r="J241" s="147"/>
      <c r="K241" s="147"/>
      <c r="L241" s="147"/>
      <c r="M241" s="147"/>
      <c r="N241" s="147"/>
      <c r="O241" s="147"/>
      <c r="P241" s="147"/>
      <c r="Q241" s="147"/>
      <c r="R241" s="147"/>
      <c r="S241" s="147"/>
      <c r="T241" s="147"/>
      <c r="U241" s="147"/>
      <c r="V241" s="147"/>
      <c r="W241" s="147"/>
      <c r="X241" s="147"/>
      <c r="Y241" s="147"/>
      <c r="Z241" s="7"/>
      <c r="AA241" s="7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</row>
    <row r="242" spans="2:39" ht="39" customHeight="1" x14ac:dyDescent="0.55000000000000004">
      <c r="B242" s="164" t="s">
        <v>517</v>
      </c>
      <c r="C242" s="165"/>
      <c r="D242" s="165"/>
      <c r="E242" s="165"/>
      <c r="F242" s="165"/>
      <c r="G242" s="165"/>
      <c r="H242" s="165"/>
      <c r="I242" s="165"/>
      <c r="J242" s="165"/>
      <c r="K242" s="165"/>
      <c r="L242" s="165"/>
      <c r="M242" s="165"/>
      <c r="N242" s="165"/>
      <c r="O242" s="165"/>
      <c r="P242" s="165"/>
      <c r="Q242" s="165"/>
      <c r="R242" s="165"/>
      <c r="S242" s="165"/>
      <c r="T242" s="165"/>
      <c r="U242" s="165"/>
      <c r="V242" s="165"/>
      <c r="W242" s="165"/>
      <c r="X242" s="165"/>
    </row>
    <row r="243" spans="2:39" ht="37.5" customHeight="1" x14ac:dyDescent="0.3">
      <c r="B243" s="166" t="s">
        <v>224</v>
      </c>
      <c r="C243" s="167"/>
      <c r="D243" s="167"/>
      <c r="E243" s="167"/>
      <c r="F243" s="167"/>
      <c r="G243" s="167"/>
      <c r="H243" s="167"/>
      <c r="I243" s="167"/>
      <c r="J243" s="167"/>
      <c r="K243" s="167"/>
      <c r="L243" s="167"/>
      <c r="M243" s="167"/>
      <c r="N243" s="167"/>
      <c r="O243" s="167"/>
      <c r="P243" s="167"/>
      <c r="Q243" s="167"/>
      <c r="R243" s="167"/>
      <c r="S243" s="167"/>
      <c r="T243" s="167"/>
      <c r="U243" s="167"/>
      <c r="V243" s="167"/>
      <c r="W243" s="167"/>
      <c r="X243" s="167"/>
      <c r="Y243" s="30"/>
      <c r="Z243" s="30"/>
    </row>
    <row r="244" spans="2:39" ht="12.75" customHeight="1" x14ac:dyDescent="0.3">
      <c r="B244" s="162"/>
      <c r="C244" s="168"/>
      <c r="D244" s="161"/>
      <c r="E244" s="161"/>
      <c r="F244" s="222" t="s">
        <v>220</v>
      </c>
      <c r="G244" s="223"/>
      <c r="H244" s="224"/>
      <c r="I244" s="222" t="s">
        <v>663</v>
      </c>
      <c r="J244" s="225"/>
      <c r="K244" s="226"/>
      <c r="L244" s="222" t="s">
        <v>532</v>
      </c>
      <c r="M244" s="225"/>
      <c r="N244" s="226"/>
      <c r="O244" s="222" t="s">
        <v>526</v>
      </c>
      <c r="P244" s="225"/>
      <c r="Q244" s="226"/>
      <c r="R244" s="222" t="s">
        <v>287</v>
      </c>
      <c r="S244" s="225"/>
      <c r="T244" s="226"/>
      <c r="U244" s="413" t="s">
        <v>527</v>
      </c>
      <c r="V244" s="226"/>
      <c r="W244" s="226"/>
      <c r="X244" s="161" t="s">
        <v>213</v>
      </c>
      <c r="Y244" s="30"/>
      <c r="Z244" s="30"/>
    </row>
    <row r="245" spans="2:39" ht="12.75" customHeight="1" x14ac:dyDescent="0.3">
      <c r="B245" s="159" t="s">
        <v>0</v>
      </c>
      <c r="C245" s="170" t="s">
        <v>1</v>
      </c>
      <c r="D245" s="160" t="s">
        <v>2</v>
      </c>
      <c r="E245" s="160" t="s">
        <v>3</v>
      </c>
      <c r="F245" s="217" t="s">
        <v>523</v>
      </c>
      <c r="G245" s="218"/>
      <c r="H245" s="219"/>
      <c r="I245" s="217" t="s">
        <v>525</v>
      </c>
      <c r="J245" s="220"/>
      <c r="K245" s="221"/>
      <c r="L245" s="217" t="s">
        <v>664</v>
      </c>
      <c r="M245" s="220"/>
      <c r="N245" s="221"/>
      <c r="O245" s="217" t="s">
        <v>529</v>
      </c>
      <c r="P245" s="220"/>
      <c r="Q245" s="221"/>
      <c r="R245" s="217" t="s">
        <v>530</v>
      </c>
      <c r="S245" s="220"/>
      <c r="T245" s="221"/>
      <c r="U245" s="414" t="s">
        <v>528</v>
      </c>
      <c r="V245" s="255"/>
      <c r="W245" s="415"/>
      <c r="X245" s="160" t="s">
        <v>9</v>
      </c>
      <c r="Y245" s="519" t="s">
        <v>223</v>
      </c>
      <c r="Z245" s="521" t="s">
        <v>4</v>
      </c>
    </row>
    <row r="246" spans="2:39" ht="12.75" customHeight="1" x14ac:dyDescent="0.3">
      <c r="B246" s="163"/>
      <c r="C246" s="169"/>
      <c r="D246" s="157"/>
      <c r="E246" s="157"/>
      <c r="F246" s="131" t="s">
        <v>33</v>
      </c>
      <c r="G246" s="131" t="s">
        <v>34</v>
      </c>
      <c r="H246" s="132" t="s">
        <v>35</v>
      </c>
      <c r="I246" s="131" t="s">
        <v>33</v>
      </c>
      <c r="J246" s="131" t="s">
        <v>34</v>
      </c>
      <c r="K246" s="132" t="s">
        <v>35</v>
      </c>
      <c r="L246" s="131" t="s">
        <v>33</v>
      </c>
      <c r="M246" s="131" t="s">
        <v>34</v>
      </c>
      <c r="N246" s="132" t="s">
        <v>35</v>
      </c>
      <c r="O246" s="131" t="s">
        <v>33</v>
      </c>
      <c r="P246" s="131" t="s">
        <v>34</v>
      </c>
      <c r="Q246" s="132" t="s">
        <v>35</v>
      </c>
      <c r="R246" s="131" t="s">
        <v>33</v>
      </c>
      <c r="S246" s="131" t="s">
        <v>34</v>
      </c>
      <c r="T246" s="132" t="s">
        <v>35</v>
      </c>
      <c r="U246" s="131" t="s">
        <v>33</v>
      </c>
      <c r="V246" s="131" t="s">
        <v>34</v>
      </c>
      <c r="W246" s="132" t="s">
        <v>35</v>
      </c>
      <c r="X246" s="157"/>
      <c r="Y246" s="520"/>
      <c r="Z246" s="522"/>
    </row>
    <row r="247" spans="2:39" ht="12.75" customHeight="1" x14ac:dyDescent="0.3">
      <c r="B247" s="133">
        <v>1</v>
      </c>
      <c r="C247" s="142" t="s">
        <v>570</v>
      </c>
      <c r="D247" s="227">
        <v>6</v>
      </c>
      <c r="E247" s="137"/>
      <c r="F247" s="135">
        <f>IFERROR(VLOOKUP(C247,'01_RS ALCARRIA'!$D$41:$M$45,10, FALSE), " ")</f>
        <v>25</v>
      </c>
      <c r="G247" s="284">
        <f>IFERROR(VLOOKUP(C247,'01_RS ALCARRIA'!$D$41:$O$45,12, FALSE), " ")/2</f>
        <v>5</v>
      </c>
      <c r="H247" s="138">
        <f>(F247+G247)*2</f>
        <v>60</v>
      </c>
      <c r="I247" s="135">
        <f>IFERROR(VLOOKUP(C247,'02_TCT GUADAMUR'!$D$41:$M$45,10, FALSE), " ")</f>
        <v>25</v>
      </c>
      <c r="J247" s="135">
        <f>IFERROR(VLOOKUP(C247,'02_TCT GUADAMUR'!$D$41:$O$45,12, FALSE), " ")</f>
        <v>10</v>
      </c>
      <c r="K247" s="138">
        <f>(I247+J247)</f>
        <v>35</v>
      </c>
      <c r="L247" s="135">
        <f>IFERROR(VLOOKUP(C247,'03_TCT MAQUEDA'!$D$41:$M$45,10, FALSE), " ")</f>
        <v>25</v>
      </c>
      <c r="M247" s="135">
        <f>IFERROR(VLOOKUP(C247,'03_TCT MAQUEDA'!$D$41:$O$45,12, FALSE), " ")</f>
        <v>10</v>
      </c>
      <c r="N247" s="138">
        <f>(L247+M247)</f>
        <v>35</v>
      </c>
      <c r="O247" s="135"/>
      <c r="P247" s="135"/>
      <c r="Q247" s="138"/>
      <c r="R247" s="135"/>
      <c r="S247" s="135"/>
      <c r="T247" s="138"/>
      <c r="U247" s="135"/>
      <c r="V247" s="135"/>
      <c r="W247" s="138"/>
      <c r="X247" s="139">
        <f>H247+K247+N247+Q247+T247+W247</f>
        <v>130</v>
      </c>
      <c r="Y247" s="140" t="str">
        <f>IF(Z247&gt;=3,"Sí","No")</f>
        <v>Sí</v>
      </c>
      <c r="Z247" s="141">
        <f>COUNTA(H247,K247,N247,Q247,T247,W247)</f>
        <v>3</v>
      </c>
    </row>
    <row r="248" spans="2:39" ht="12.75" customHeight="1" x14ac:dyDescent="0.3">
      <c r="B248" s="133">
        <v>2</v>
      </c>
      <c r="C248" s="142" t="s">
        <v>571</v>
      </c>
      <c r="D248" s="227">
        <v>6</v>
      </c>
      <c r="E248" s="137"/>
      <c r="F248" s="135">
        <f>IFERROR(VLOOKUP(C248,'01_RS ALCARRIA'!$D$41:$M$45,10, FALSE), " ")</f>
        <v>20</v>
      </c>
      <c r="G248" s="284">
        <f>IFERROR(VLOOKUP(C248,'01_RS ALCARRIA'!$D$41:$O$45,12, FALSE), " ")/2</f>
        <v>4</v>
      </c>
      <c r="H248" s="138">
        <f t="shared" ref="H248" si="28">(F248+G248)*2</f>
        <v>48</v>
      </c>
      <c r="I248" s="135">
        <f>IFERROR(VLOOKUP(C248,'02_TCT GUADAMUR'!$D$41:$M$45,10, FALSE), " ")</f>
        <v>15</v>
      </c>
      <c r="J248" s="135">
        <f>IFERROR(VLOOKUP(C248,'02_TCT GUADAMUR'!$D$41:$O$45,12, FALSE), " ")</f>
        <v>5</v>
      </c>
      <c r="K248" s="138">
        <f t="shared" ref="K248:K250" si="29">(I248+J248)</f>
        <v>20</v>
      </c>
      <c r="L248" s="135">
        <v>0</v>
      </c>
      <c r="M248" s="135">
        <v>0</v>
      </c>
      <c r="N248" s="138">
        <f t="shared" ref="N248:N249" si="30">(L248+M248)</f>
        <v>0</v>
      </c>
      <c r="O248" s="135"/>
      <c r="P248" s="135"/>
      <c r="Q248" s="138"/>
      <c r="R248" s="135"/>
      <c r="S248" s="135"/>
      <c r="T248" s="138"/>
      <c r="U248" s="135"/>
      <c r="V248" s="135"/>
      <c r="W248" s="138"/>
      <c r="X248" s="139">
        <f t="shared" ref="X248:X250" si="31">H248+K248+N248+Q248+T248+W248</f>
        <v>68</v>
      </c>
      <c r="Y248" s="140" t="str">
        <f>IF(Z248&gt;=3,"Sí","No")</f>
        <v>Sí</v>
      </c>
      <c r="Z248" s="141">
        <f t="shared" ref="Z248:Z250" si="32">COUNTA(H248,K248,N248,Q248,T248,W248)</f>
        <v>3</v>
      </c>
    </row>
    <row r="249" spans="2:39" ht="12.75" customHeight="1" x14ac:dyDescent="0.3">
      <c r="B249" s="133">
        <v>3</v>
      </c>
      <c r="C249" s="142" t="s">
        <v>687</v>
      </c>
      <c r="D249" s="227">
        <v>6</v>
      </c>
      <c r="E249" s="137"/>
      <c r="F249" s="135"/>
      <c r="G249" s="135"/>
      <c r="H249" s="138"/>
      <c r="I249" s="135">
        <f>IFERROR(VLOOKUP(C249,'02_TCT GUADAMUR'!$D$41:$M$45,10, FALSE), " ")</f>
        <v>20</v>
      </c>
      <c r="J249" s="135">
        <f>IFERROR(VLOOKUP(C249,'02_TCT GUADAMUR'!$D$41:$O$45,12, FALSE), " ")</f>
        <v>8</v>
      </c>
      <c r="K249" s="138">
        <f t="shared" si="29"/>
        <v>28</v>
      </c>
      <c r="L249" s="135">
        <f>IFERROR(VLOOKUP(C249,'03_TCT MAQUEDA'!$D$41:$M$45,10, FALSE), " ")</f>
        <v>20</v>
      </c>
      <c r="M249" s="135">
        <f>IFERROR(VLOOKUP(C249,'03_TCT MAQUEDA'!$D$41:$O$45,12, FALSE), " ")</f>
        <v>8</v>
      </c>
      <c r="N249" s="138">
        <f t="shared" si="30"/>
        <v>28</v>
      </c>
      <c r="O249" s="135"/>
      <c r="P249" s="135"/>
      <c r="Q249" s="138"/>
      <c r="R249" s="135"/>
      <c r="S249" s="135"/>
      <c r="T249" s="138"/>
      <c r="U249" s="135"/>
      <c r="V249" s="135"/>
      <c r="W249" s="138"/>
      <c r="X249" s="139">
        <f t="shared" si="31"/>
        <v>56</v>
      </c>
      <c r="Y249" s="140" t="str">
        <f>IF(Z249&gt;=3,"Sí","No")</f>
        <v>No</v>
      </c>
      <c r="Z249" s="141">
        <f t="shared" si="32"/>
        <v>2</v>
      </c>
    </row>
    <row r="250" spans="2:39" ht="12.75" customHeight="1" x14ac:dyDescent="0.3">
      <c r="B250" s="133">
        <v>4</v>
      </c>
      <c r="C250" s="142" t="s">
        <v>689</v>
      </c>
      <c r="D250" s="227">
        <v>6</v>
      </c>
      <c r="E250" s="137"/>
      <c r="F250" s="135"/>
      <c r="G250" s="135"/>
      <c r="H250" s="138"/>
      <c r="I250" s="135">
        <f>IFERROR(VLOOKUP(C250,'02_TCT GUADAMUR'!$D$41:$M$45,10, FALSE), " ")</f>
        <v>17</v>
      </c>
      <c r="J250" s="135">
        <f>IFERROR(VLOOKUP(C250,'02_TCT GUADAMUR'!$D$41:$O$45,12, FALSE), " ")</f>
        <v>6</v>
      </c>
      <c r="K250" s="138">
        <f t="shared" si="29"/>
        <v>23</v>
      </c>
      <c r="L250" s="135"/>
      <c r="M250" s="135"/>
      <c r="N250" s="138"/>
      <c r="O250" s="135"/>
      <c r="P250" s="135"/>
      <c r="Q250" s="138"/>
      <c r="R250" s="135"/>
      <c r="S250" s="135"/>
      <c r="T250" s="138"/>
      <c r="U250" s="135"/>
      <c r="V250" s="135"/>
      <c r="W250" s="138"/>
      <c r="X250" s="139">
        <f t="shared" si="31"/>
        <v>23</v>
      </c>
      <c r="Y250" s="140" t="str">
        <f>IF(Z250&gt;=3,"Sí","No")</f>
        <v>No</v>
      </c>
      <c r="Z250" s="141">
        <f t="shared" si="32"/>
        <v>1</v>
      </c>
    </row>
    <row r="251" spans="2:39" ht="12" x14ac:dyDescent="0.3">
      <c r="B251" s="155"/>
      <c r="C251" s="155"/>
      <c r="D251" s="155"/>
      <c r="E251" s="155"/>
      <c r="F251" s="155"/>
      <c r="G251" s="155"/>
      <c r="H251" s="155"/>
      <c r="I251" s="155"/>
      <c r="J251" s="155"/>
      <c r="K251" s="155"/>
      <c r="L251" s="155"/>
      <c r="M251" s="155"/>
      <c r="N251" s="155"/>
      <c r="O251" s="155"/>
      <c r="P251" s="155"/>
      <c r="Q251" s="155"/>
      <c r="R251" s="155"/>
      <c r="S251" s="155"/>
      <c r="T251" s="155"/>
      <c r="U251" s="155"/>
      <c r="V251" s="155"/>
      <c r="W251" s="155"/>
      <c r="X251" s="155"/>
      <c r="Y251" s="149"/>
    </row>
    <row r="252" spans="2:39" ht="12.75" customHeight="1" x14ac:dyDescent="0.3">
      <c r="B252" s="1"/>
      <c r="C252" s="235"/>
      <c r="D252" s="284"/>
      <c r="E252" s="285" t="s">
        <v>534</v>
      </c>
      <c r="F252" s="147"/>
      <c r="G252" s="147"/>
      <c r="H252" s="147"/>
      <c r="I252" s="147"/>
      <c r="J252" s="147"/>
      <c r="K252" s="147"/>
      <c r="L252" s="147"/>
      <c r="M252" s="147"/>
      <c r="N252" s="147"/>
      <c r="O252" s="147"/>
      <c r="P252" s="147"/>
      <c r="Q252" s="147"/>
      <c r="R252" s="147"/>
      <c r="S252" s="147"/>
      <c r="T252" s="147"/>
      <c r="U252" s="147"/>
      <c r="V252" s="147"/>
      <c r="W252" s="147"/>
      <c r="X252" s="147"/>
      <c r="Y252" s="147"/>
      <c r="Z252" s="147"/>
      <c r="AA252" s="148"/>
      <c r="AB252" s="262"/>
    </row>
    <row r="253" spans="2:39" ht="12" x14ac:dyDescent="0.3">
      <c r="B253" s="155"/>
      <c r="C253" s="155"/>
      <c r="D253" s="155"/>
      <c r="E253" s="155"/>
      <c r="F253" s="155"/>
      <c r="G253" s="155"/>
      <c r="H253" s="155"/>
      <c r="I253" s="155"/>
      <c r="J253" s="155"/>
      <c r="K253" s="155"/>
      <c r="L253" s="155"/>
      <c r="M253" s="155"/>
      <c r="N253" s="155"/>
      <c r="O253" s="155"/>
      <c r="P253" s="155"/>
      <c r="Q253" s="155"/>
      <c r="R253" s="155"/>
      <c r="S253" s="155"/>
      <c r="T253" s="155"/>
      <c r="U253" s="155"/>
      <c r="V253" s="155"/>
      <c r="W253" s="155"/>
      <c r="X253" s="155"/>
    </row>
    <row r="254" spans="2:39" ht="39" customHeight="1" x14ac:dyDescent="0.55000000000000004">
      <c r="B254" s="164" t="s">
        <v>517</v>
      </c>
      <c r="C254" s="165"/>
      <c r="D254" s="165"/>
      <c r="E254" s="165"/>
      <c r="F254" s="165"/>
      <c r="G254" s="165"/>
      <c r="H254" s="165"/>
      <c r="I254" s="165"/>
      <c r="J254" s="165"/>
      <c r="K254" s="165"/>
      <c r="L254" s="165"/>
      <c r="M254" s="165"/>
      <c r="N254" s="165"/>
      <c r="O254" s="165"/>
      <c r="P254" s="165"/>
      <c r="Q254" s="165"/>
      <c r="R254" s="165"/>
      <c r="S254" s="165"/>
      <c r="T254" s="165"/>
      <c r="U254" s="165"/>
      <c r="V254" s="165"/>
      <c r="W254" s="165"/>
      <c r="X254" s="165"/>
    </row>
    <row r="255" spans="2:39" ht="37.5" customHeight="1" x14ac:dyDescent="0.3">
      <c r="B255" s="166" t="s">
        <v>338</v>
      </c>
      <c r="C255" s="167"/>
      <c r="D255" s="167"/>
      <c r="E255" s="167"/>
      <c r="F255" s="167"/>
      <c r="G255" s="167"/>
      <c r="H255" s="167"/>
      <c r="I255" s="167"/>
      <c r="J255" s="167"/>
      <c r="K255" s="167"/>
      <c r="L255" s="167"/>
      <c r="M255" s="167"/>
      <c r="N255" s="167"/>
      <c r="O255" s="167"/>
      <c r="P255" s="167"/>
      <c r="Q255" s="167"/>
      <c r="R255" s="167"/>
      <c r="S255" s="167"/>
      <c r="T255" s="167"/>
      <c r="U255" s="167"/>
      <c r="V255" s="167"/>
      <c r="W255" s="167"/>
      <c r="X255" s="167"/>
      <c r="Y255" s="30"/>
      <c r="Z255" s="30"/>
    </row>
    <row r="256" spans="2:39" ht="12.75" customHeight="1" x14ac:dyDescent="0.3">
      <c r="B256" s="162"/>
      <c r="C256" s="168"/>
      <c r="D256" s="161"/>
      <c r="E256" s="161"/>
      <c r="F256" s="222" t="s">
        <v>220</v>
      </c>
      <c r="G256" s="223"/>
      <c r="H256" s="224"/>
      <c r="I256" s="222" t="s">
        <v>663</v>
      </c>
      <c r="J256" s="225"/>
      <c r="K256" s="226"/>
      <c r="L256" s="222" t="s">
        <v>532</v>
      </c>
      <c r="M256" s="225"/>
      <c r="N256" s="226"/>
      <c r="O256" s="222" t="s">
        <v>526</v>
      </c>
      <c r="P256" s="225"/>
      <c r="Q256" s="226"/>
      <c r="R256" s="222" t="s">
        <v>287</v>
      </c>
      <c r="S256" s="225"/>
      <c r="T256" s="226"/>
      <c r="U256" s="413" t="s">
        <v>527</v>
      </c>
      <c r="V256" s="226"/>
      <c r="W256" s="226"/>
      <c r="X256" s="161" t="s">
        <v>213</v>
      </c>
      <c r="Y256" s="30"/>
      <c r="Z256" s="30"/>
    </row>
    <row r="257" spans="2:28" ht="12.75" customHeight="1" x14ac:dyDescent="0.3">
      <c r="B257" s="159" t="s">
        <v>0</v>
      </c>
      <c r="C257" s="170" t="s">
        <v>166</v>
      </c>
      <c r="D257" s="160" t="s">
        <v>2</v>
      </c>
      <c r="E257" s="160" t="s">
        <v>3</v>
      </c>
      <c r="F257" s="217" t="s">
        <v>523</v>
      </c>
      <c r="G257" s="218"/>
      <c r="H257" s="219"/>
      <c r="I257" s="217" t="s">
        <v>525</v>
      </c>
      <c r="J257" s="220"/>
      <c r="K257" s="221"/>
      <c r="L257" s="217" t="s">
        <v>664</v>
      </c>
      <c r="M257" s="220"/>
      <c r="N257" s="221"/>
      <c r="O257" s="217" t="s">
        <v>529</v>
      </c>
      <c r="P257" s="220"/>
      <c r="Q257" s="221"/>
      <c r="R257" s="217" t="s">
        <v>530</v>
      </c>
      <c r="S257" s="220"/>
      <c r="T257" s="221"/>
      <c r="U257" s="414" t="s">
        <v>528</v>
      </c>
      <c r="V257" s="255"/>
      <c r="W257" s="415"/>
      <c r="X257" s="160" t="s">
        <v>9</v>
      </c>
      <c r="Y257" s="519" t="s">
        <v>223</v>
      </c>
      <c r="Z257" s="521" t="s">
        <v>4</v>
      </c>
    </row>
    <row r="258" spans="2:28" ht="12.75" customHeight="1" x14ac:dyDescent="0.3">
      <c r="B258" s="163"/>
      <c r="C258" s="169"/>
      <c r="D258" s="157"/>
      <c r="E258" s="157"/>
      <c r="F258" s="131" t="s">
        <v>33</v>
      </c>
      <c r="G258" s="131" t="s">
        <v>34</v>
      </c>
      <c r="H258" s="132" t="s">
        <v>35</v>
      </c>
      <c r="I258" s="131" t="s">
        <v>33</v>
      </c>
      <c r="J258" s="131" t="s">
        <v>34</v>
      </c>
      <c r="K258" s="132" t="s">
        <v>35</v>
      </c>
      <c r="L258" s="131" t="s">
        <v>33</v>
      </c>
      <c r="M258" s="131" t="s">
        <v>34</v>
      </c>
      <c r="N258" s="132" t="s">
        <v>35</v>
      </c>
      <c r="O258" s="131" t="s">
        <v>33</v>
      </c>
      <c r="P258" s="131" t="s">
        <v>34</v>
      </c>
      <c r="Q258" s="132" t="s">
        <v>35</v>
      </c>
      <c r="R258" s="131" t="s">
        <v>33</v>
      </c>
      <c r="S258" s="131" t="s">
        <v>34</v>
      </c>
      <c r="T258" s="132" t="s">
        <v>35</v>
      </c>
      <c r="U258" s="131" t="s">
        <v>33</v>
      </c>
      <c r="V258" s="131" t="s">
        <v>34</v>
      </c>
      <c r="W258" s="132" t="s">
        <v>35</v>
      </c>
      <c r="X258" s="157"/>
      <c r="Y258" s="520"/>
      <c r="Z258" s="522"/>
    </row>
    <row r="259" spans="2:28" ht="12.75" customHeight="1" x14ac:dyDescent="0.3">
      <c r="B259" s="133">
        <v>1</v>
      </c>
      <c r="C259" s="151" t="s">
        <v>572</v>
      </c>
      <c r="D259" s="227">
        <v>6</v>
      </c>
      <c r="E259" s="136"/>
      <c r="F259" s="135">
        <f>IFERROR(VLOOKUP(C259,'01_RS ALCARRIA'!$F$41:$R$45,13,FALSE),"")</f>
        <v>25</v>
      </c>
      <c r="G259" s="284">
        <f>IFERROR(VLOOKUP(C259,'01_RS ALCARRIA'!$F$41:$T$45,15,FALSE),"")/2</f>
        <v>5</v>
      </c>
      <c r="H259" s="138">
        <f>(F259+G259)*2</f>
        <v>60</v>
      </c>
      <c r="I259" s="135">
        <f>IFERROR(VLOOKUP(C259,'02_TCT GUADAMUR'!$F$41:$R$45,13,FALSE),"")</f>
        <v>25</v>
      </c>
      <c r="J259" s="135">
        <f>IFERROR(VLOOKUP(C259,'02_TCT GUADAMUR'!$F$41:$T$45,15,FALSE),"")</f>
        <v>10</v>
      </c>
      <c r="K259" s="138">
        <f>(I259+J259)</f>
        <v>35</v>
      </c>
      <c r="L259" s="135">
        <f>IFERROR(VLOOKUP(C259,'03_TCT MAQUEDA'!$F$41:$R$45,13,FALSE),"")</f>
        <v>25</v>
      </c>
      <c r="M259" s="135">
        <f>IFERROR(VLOOKUP(C259,'03_TCT MAQUEDA'!$F$41:$T$45,15,FALSE),"")</f>
        <v>10</v>
      </c>
      <c r="N259" s="138">
        <f>(L259+M259)</f>
        <v>35</v>
      </c>
      <c r="O259" s="135"/>
      <c r="P259" s="135"/>
      <c r="Q259" s="135"/>
      <c r="R259" s="135"/>
      <c r="S259" s="135"/>
      <c r="T259" s="135"/>
      <c r="U259" s="135"/>
      <c r="V259" s="135"/>
      <c r="W259" s="135"/>
      <c r="X259" s="139">
        <f>H259+K259+N259+Q259+T259+W259</f>
        <v>130</v>
      </c>
      <c r="Y259" s="140" t="str">
        <f t="shared" ref="Y259:Y263" si="33">IF(Z259&gt;=2,"Sí","No")</f>
        <v>Sí</v>
      </c>
      <c r="Z259" s="141">
        <f>COUNTA(H259,K259,N259,Q259,T259,W259)</f>
        <v>3</v>
      </c>
    </row>
    <row r="260" spans="2:28" ht="12.75" customHeight="1" x14ac:dyDescent="0.3">
      <c r="B260" s="133">
        <v>2</v>
      </c>
      <c r="C260" s="151" t="s">
        <v>573</v>
      </c>
      <c r="D260" s="227">
        <v>6</v>
      </c>
      <c r="E260" s="135"/>
      <c r="F260" s="135">
        <f>IFERROR(VLOOKUP(C260,'01_RS ALCARRIA'!$F$41:$R$45,13,FALSE),"")</f>
        <v>20</v>
      </c>
      <c r="G260" s="284">
        <f>IFERROR(VLOOKUP(C260,'01_RS ALCARRIA'!$F$41:$T$45,15,FALSE),"")/2</f>
        <v>4</v>
      </c>
      <c r="H260" s="138">
        <f t="shared" ref="H260" si="34">(F260+G260)*2</f>
        <v>48</v>
      </c>
      <c r="I260" s="135">
        <f>IFERROR(VLOOKUP(C260,'02_TCT GUADAMUR'!$F$41:$R$45,13,FALSE),"")</f>
        <v>15</v>
      </c>
      <c r="J260" s="135">
        <f>IFERROR(VLOOKUP(C260,'02_TCT GUADAMUR'!$F$41:$T$45,15,FALSE),"")</f>
        <v>5</v>
      </c>
      <c r="K260" s="138">
        <f t="shared" ref="K260:K262" si="35">(I260+J260)</f>
        <v>20</v>
      </c>
      <c r="L260" s="135">
        <v>0</v>
      </c>
      <c r="M260" s="135">
        <v>0</v>
      </c>
      <c r="N260" s="138">
        <f t="shared" ref="N260:N263" si="36">(L260+M260)</f>
        <v>0</v>
      </c>
      <c r="O260" s="135"/>
      <c r="P260" s="135"/>
      <c r="Q260" s="135"/>
      <c r="R260" s="135"/>
      <c r="S260" s="135"/>
      <c r="T260" s="135"/>
      <c r="U260" s="135"/>
      <c r="V260" s="135"/>
      <c r="W260" s="135"/>
      <c r="X260" s="139">
        <f t="shared" ref="X260:X263" si="37">H260+K260+N260+Q260+T260+W260</f>
        <v>68</v>
      </c>
      <c r="Y260" s="140" t="str">
        <f t="shared" si="33"/>
        <v>Sí</v>
      </c>
      <c r="Z260" s="141">
        <f t="shared" ref="Z260:Z263" si="38">COUNTA(H260,K260,N260,Q260,T260,W260)</f>
        <v>3</v>
      </c>
    </row>
    <row r="261" spans="2:28" ht="12.75" customHeight="1" x14ac:dyDescent="0.3">
      <c r="B261" s="133">
        <v>3</v>
      </c>
      <c r="C261" s="151" t="s">
        <v>688</v>
      </c>
      <c r="D261" s="227">
        <v>6</v>
      </c>
      <c r="E261" s="135"/>
      <c r="F261" s="135"/>
      <c r="G261" s="135"/>
      <c r="H261" s="138"/>
      <c r="I261" s="135">
        <f>IFERROR(VLOOKUP(C261,'02_TCT GUADAMUR'!$F$41:$R$45,13,FALSE),"")</f>
        <v>20</v>
      </c>
      <c r="J261" s="135">
        <f>IFERROR(VLOOKUP(C261,'02_TCT GUADAMUR'!$F$41:$T$45,15,FALSE),"")</f>
        <v>8</v>
      </c>
      <c r="K261" s="138">
        <f t="shared" si="35"/>
        <v>28</v>
      </c>
      <c r="L261" s="135">
        <f>IFERROR(VLOOKUP(C261,'03_TCT MAQUEDA'!$F$41:$R$45,13,FALSE),"")</f>
        <v>20</v>
      </c>
      <c r="M261" s="135">
        <f>IFERROR(VLOOKUP(C261,'03_TCT MAQUEDA'!$F$41:$T$45,15,FALSE),"")</f>
        <v>8</v>
      </c>
      <c r="N261" s="138">
        <f t="shared" si="36"/>
        <v>28</v>
      </c>
      <c r="O261" s="135"/>
      <c r="P261" s="135"/>
      <c r="Q261" s="135"/>
      <c r="R261" s="135"/>
      <c r="S261" s="135"/>
      <c r="T261" s="135"/>
      <c r="U261" s="135"/>
      <c r="V261" s="135"/>
      <c r="W261" s="135"/>
      <c r="X261" s="139">
        <f t="shared" si="37"/>
        <v>56</v>
      </c>
      <c r="Y261" s="140" t="str">
        <f t="shared" si="33"/>
        <v>Sí</v>
      </c>
      <c r="Z261" s="141">
        <f t="shared" si="38"/>
        <v>2</v>
      </c>
    </row>
    <row r="262" spans="2:28" ht="12.75" customHeight="1" x14ac:dyDescent="0.3">
      <c r="B262" s="133">
        <v>4</v>
      </c>
      <c r="C262" s="151" t="s">
        <v>690</v>
      </c>
      <c r="D262" s="227">
        <v>6</v>
      </c>
      <c r="E262" s="135"/>
      <c r="F262" s="135"/>
      <c r="G262" s="135"/>
      <c r="H262" s="138"/>
      <c r="I262" s="135">
        <f>IFERROR(VLOOKUP(C262,'02_TCT GUADAMUR'!$F$41:$R$45,13,FALSE),"")</f>
        <v>17</v>
      </c>
      <c r="J262" s="135">
        <f>IFERROR(VLOOKUP(C262,'02_TCT GUADAMUR'!$F$41:$T$45,15,FALSE),"")</f>
        <v>6</v>
      </c>
      <c r="K262" s="138">
        <f t="shared" si="35"/>
        <v>23</v>
      </c>
      <c r="L262" s="135"/>
      <c r="M262" s="135"/>
      <c r="N262" s="138"/>
      <c r="O262" s="135"/>
      <c r="P262" s="135"/>
      <c r="Q262" s="135"/>
      <c r="R262" s="135"/>
      <c r="S262" s="135"/>
      <c r="T262" s="135"/>
      <c r="U262" s="135"/>
      <c r="V262" s="135"/>
      <c r="W262" s="135"/>
      <c r="X262" s="139">
        <f t="shared" si="37"/>
        <v>23</v>
      </c>
      <c r="Y262" s="140" t="str">
        <f t="shared" si="33"/>
        <v>No</v>
      </c>
      <c r="Z262" s="141">
        <f t="shared" si="38"/>
        <v>1</v>
      </c>
    </row>
    <row r="263" spans="2:28" ht="12.75" customHeight="1" x14ac:dyDescent="0.3">
      <c r="B263" s="133">
        <v>4</v>
      </c>
      <c r="C263" s="151" t="s">
        <v>377</v>
      </c>
      <c r="D263" s="227">
        <v>6</v>
      </c>
      <c r="E263" s="135"/>
      <c r="F263" s="135"/>
      <c r="G263" s="135"/>
      <c r="H263" s="138"/>
      <c r="I263" s="135"/>
      <c r="J263" s="135"/>
      <c r="K263" s="138"/>
      <c r="L263" s="135">
        <f>IFERROR(VLOOKUP(C263,'03_TCT MAQUEDA'!$F$41:$R$45,13,FALSE),"")</f>
        <v>17</v>
      </c>
      <c r="M263" s="135">
        <f>IFERROR(VLOOKUP(C263,'03_TCT MAQUEDA'!$F$41:$T$45,15,FALSE),"")</f>
        <v>6</v>
      </c>
      <c r="N263" s="138">
        <f t="shared" si="36"/>
        <v>23</v>
      </c>
      <c r="O263" s="135"/>
      <c r="P263" s="135"/>
      <c r="Q263" s="135"/>
      <c r="R263" s="135"/>
      <c r="S263" s="135"/>
      <c r="T263" s="135"/>
      <c r="U263" s="135"/>
      <c r="V263" s="135"/>
      <c r="W263" s="135"/>
      <c r="X263" s="139">
        <f t="shared" si="37"/>
        <v>23</v>
      </c>
      <c r="Y263" s="140" t="str">
        <f t="shared" si="33"/>
        <v>No</v>
      </c>
      <c r="Z263" s="141">
        <f t="shared" si="38"/>
        <v>1</v>
      </c>
    </row>
    <row r="264" spans="2:28" ht="13" x14ac:dyDescent="0.3">
      <c r="B264" s="152"/>
      <c r="C264" s="153"/>
      <c r="D264" s="154"/>
      <c r="E264" s="154"/>
      <c r="F264" s="154"/>
      <c r="G264" s="154"/>
      <c r="H264" s="146"/>
      <c r="I264" s="154"/>
      <c r="J264" s="154"/>
      <c r="K264" s="155"/>
      <c r="L264" s="155"/>
      <c r="M264" s="155"/>
      <c r="N264" s="155"/>
      <c r="O264" s="155"/>
      <c r="P264" s="4"/>
      <c r="Q264" s="4"/>
      <c r="R264" s="155"/>
      <c r="S264" s="4"/>
      <c r="T264" s="4"/>
      <c r="U264" s="4"/>
      <c r="V264" s="4"/>
      <c r="W264" s="4"/>
      <c r="X264" s="4"/>
      <c r="Y264" s="149"/>
      <c r="Z264" s="127"/>
    </row>
    <row r="265" spans="2:28" ht="12.75" customHeight="1" x14ac:dyDescent="0.3">
      <c r="B265" s="1"/>
      <c r="C265" s="235"/>
      <c r="D265" s="284"/>
      <c r="E265" s="285" t="s">
        <v>534</v>
      </c>
      <c r="F265" s="147"/>
      <c r="G265" s="147"/>
      <c r="H265" s="147"/>
      <c r="I265" s="147"/>
      <c r="J265" s="147"/>
      <c r="K265" s="147"/>
      <c r="L265" s="147"/>
      <c r="M265" s="147"/>
      <c r="N265" s="147"/>
      <c r="O265" s="147"/>
      <c r="P265" s="147"/>
      <c r="Q265" s="147"/>
      <c r="R265" s="147"/>
      <c r="S265" s="147"/>
      <c r="T265" s="147"/>
      <c r="U265" s="147"/>
      <c r="V265" s="147"/>
      <c r="W265" s="147"/>
      <c r="X265" s="147"/>
      <c r="Y265" s="147"/>
      <c r="Z265" s="147"/>
      <c r="AA265" s="148"/>
      <c r="AB265" s="262"/>
    </row>
    <row r="266" spans="2:28" ht="13" x14ac:dyDescent="0.3">
      <c r="B266" s="152"/>
      <c r="C266" s="153"/>
      <c r="D266" s="154"/>
      <c r="E266" s="154"/>
      <c r="F266" s="154"/>
      <c r="G266" s="154"/>
      <c r="H266" s="146"/>
      <c r="I266" s="154"/>
      <c r="J266" s="154"/>
      <c r="K266" s="155"/>
      <c r="L266" s="155"/>
      <c r="M266" s="155"/>
      <c r="N266" s="155"/>
      <c r="O266" s="155"/>
      <c r="P266" s="155"/>
      <c r="Q266" s="155"/>
      <c r="R266" s="155"/>
      <c r="S266" s="155"/>
      <c r="T266" s="155"/>
      <c r="U266" s="155"/>
      <c r="V266" s="155"/>
      <c r="W266" s="155"/>
      <c r="X266" s="155"/>
      <c r="Y266" s="149"/>
      <c r="Z266" s="127"/>
    </row>
    <row r="267" spans="2:28" ht="39" customHeight="1" x14ac:dyDescent="0.55000000000000004">
      <c r="B267" s="164" t="s">
        <v>518</v>
      </c>
      <c r="C267" s="165"/>
      <c r="D267" s="165"/>
      <c r="E267" s="165"/>
      <c r="F267" s="165"/>
      <c r="G267" s="165"/>
      <c r="H267" s="165"/>
      <c r="I267" s="165"/>
      <c r="J267" s="165"/>
      <c r="K267" s="165"/>
      <c r="L267" s="165"/>
      <c r="M267" s="165"/>
      <c r="N267" s="165"/>
      <c r="O267" s="165"/>
      <c r="P267" s="165"/>
      <c r="Q267" s="165"/>
      <c r="R267" s="165"/>
      <c r="S267" s="165"/>
      <c r="T267" s="165"/>
      <c r="U267" s="165"/>
      <c r="V267" s="165"/>
      <c r="W267" s="165"/>
      <c r="X267" s="165"/>
    </row>
    <row r="268" spans="2:28" ht="37.5" customHeight="1" x14ac:dyDescent="0.3">
      <c r="B268" s="166" t="s">
        <v>224</v>
      </c>
      <c r="C268" s="167"/>
      <c r="D268" s="167"/>
      <c r="E268" s="167"/>
      <c r="F268" s="167"/>
      <c r="G268" s="167"/>
      <c r="H268" s="167"/>
      <c r="I268" s="167"/>
      <c r="J268" s="167"/>
      <c r="K268" s="167"/>
      <c r="L268" s="167"/>
      <c r="M268" s="167"/>
      <c r="N268" s="167"/>
      <c r="O268" s="167"/>
      <c r="P268" s="167"/>
      <c r="Q268" s="167"/>
      <c r="R268" s="167"/>
      <c r="S268" s="167"/>
      <c r="T268" s="167"/>
      <c r="U268" s="167"/>
      <c r="V268" s="167"/>
      <c r="W268" s="167"/>
      <c r="X268" s="167"/>
      <c r="Y268" s="30"/>
      <c r="Z268" s="30"/>
    </row>
    <row r="269" spans="2:28" ht="12.75" customHeight="1" x14ac:dyDescent="0.3">
      <c r="B269" s="162"/>
      <c r="C269" s="168"/>
      <c r="D269" s="161"/>
      <c r="E269" s="161"/>
      <c r="F269" s="222" t="s">
        <v>220</v>
      </c>
      <c r="G269" s="223"/>
      <c r="H269" s="224"/>
      <c r="I269" s="222" t="s">
        <v>663</v>
      </c>
      <c r="J269" s="225"/>
      <c r="K269" s="226"/>
      <c r="L269" s="222" t="s">
        <v>532</v>
      </c>
      <c r="M269" s="225"/>
      <c r="N269" s="226"/>
      <c r="O269" s="222" t="s">
        <v>526</v>
      </c>
      <c r="P269" s="225"/>
      <c r="Q269" s="226"/>
      <c r="R269" s="222" t="s">
        <v>287</v>
      </c>
      <c r="S269" s="225"/>
      <c r="T269" s="226"/>
      <c r="U269" s="413" t="s">
        <v>527</v>
      </c>
      <c r="V269" s="226"/>
      <c r="W269" s="226"/>
      <c r="X269" s="161" t="s">
        <v>213</v>
      </c>
      <c r="Y269" s="30"/>
      <c r="Z269" s="30"/>
    </row>
    <row r="270" spans="2:28" ht="12.75" customHeight="1" x14ac:dyDescent="0.3">
      <c r="B270" s="159" t="s">
        <v>0</v>
      </c>
      <c r="C270" s="170" t="s">
        <v>1</v>
      </c>
      <c r="D270" s="160" t="s">
        <v>2</v>
      </c>
      <c r="E270" s="160" t="s">
        <v>3</v>
      </c>
      <c r="F270" s="217" t="s">
        <v>523</v>
      </c>
      <c r="G270" s="218"/>
      <c r="H270" s="219"/>
      <c r="I270" s="217" t="s">
        <v>525</v>
      </c>
      <c r="J270" s="220"/>
      <c r="K270" s="221"/>
      <c r="L270" s="217" t="s">
        <v>664</v>
      </c>
      <c r="M270" s="220"/>
      <c r="N270" s="221"/>
      <c r="O270" s="217" t="s">
        <v>529</v>
      </c>
      <c r="P270" s="220"/>
      <c r="Q270" s="221"/>
      <c r="R270" s="217" t="s">
        <v>530</v>
      </c>
      <c r="S270" s="220"/>
      <c r="T270" s="221"/>
      <c r="U270" s="414" t="s">
        <v>528</v>
      </c>
      <c r="V270" s="255"/>
      <c r="W270" s="415"/>
      <c r="X270" s="160" t="s">
        <v>9</v>
      </c>
      <c r="Y270" s="519" t="s">
        <v>223</v>
      </c>
      <c r="Z270" s="521" t="s">
        <v>4</v>
      </c>
    </row>
    <row r="271" spans="2:28" ht="12.75" customHeight="1" x14ac:dyDescent="0.3">
      <c r="B271" s="163"/>
      <c r="C271" s="169"/>
      <c r="D271" s="157"/>
      <c r="E271" s="157"/>
      <c r="F271" s="131" t="s">
        <v>33</v>
      </c>
      <c r="G271" s="131" t="s">
        <v>34</v>
      </c>
      <c r="H271" s="132" t="s">
        <v>35</v>
      </c>
      <c r="I271" s="131" t="s">
        <v>33</v>
      </c>
      <c r="J271" s="131" t="s">
        <v>34</v>
      </c>
      <c r="K271" s="132" t="s">
        <v>35</v>
      </c>
      <c r="L271" s="131" t="s">
        <v>33</v>
      </c>
      <c r="M271" s="131" t="s">
        <v>34</v>
      </c>
      <c r="N271" s="132" t="s">
        <v>35</v>
      </c>
      <c r="O271" s="131" t="s">
        <v>33</v>
      </c>
      <c r="P271" s="131" t="s">
        <v>34</v>
      </c>
      <c r="Q271" s="132" t="s">
        <v>35</v>
      </c>
      <c r="R271" s="131" t="s">
        <v>33</v>
      </c>
      <c r="S271" s="131" t="s">
        <v>34</v>
      </c>
      <c r="T271" s="132" t="s">
        <v>35</v>
      </c>
      <c r="U271" s="131" t="s">
        <v>33</v>
      </c>
      <c r="V271" s="131" t="s">
        <v>34</v>
      </c>
      <c r="W271" s="132" t="s">
        <v>35</v>
      </c>
      <c r="X271" s="157"/>
      <c r="Y271" s="520"/>
      <c r="Z271" s="522"/>
    </row>
    <row r="272" spans="2:28" ht="12.75" customHeight="1" x14ac:dyDescent="0.3">
      <c r="B272" s="133">
        <v>1</v>
      </c>
      <c r="C272" s="142" t="s">
        <v>639</v>
      </c>
      <c r="D272" s="227">
        <v>7</v>
      </c>
      <c r="E272" s="227"/>
      <c r="F272" s="135">
        <f>IFERROR(VLOOKUP(C272,'01_RS ALCARRIA'!$D$50:$M$55,10,FALSE),"")</f>
        <v>25</v>
      </c>
      <c r="G272" s="135">
        <f>IFERROR(VLOOKUP(C272,'01_RS ALCARRIA'!$D$50:$O$55,12,FALSE),"")</f>
        <v>10</v>
      </c>
      <c r="H272" s="138">
        <f t="shared" ref="H272:H277" si="39">(F272+G272)*2</f>
        <v>70</v>
      </c>
      <c r="I272" s="135">
        <f>IFERROR(VLOOKUP(C272,'02_TCT GUADAMUR'!$D$50:$M$55,10,FALSE),"")</f>
        <v>25</v>
      </c>
      <c r="J272" s="135">
        <f>IFERROR(VLOOKUP(C272,'02_TCT GUADAMUR'!$D$50:$O$55,12,FALSE),"")</f>
        <v>10</v>
      </c>
      <c r="K272" s="138">
        <f>(I272+J272)</f>
        <v>35</v>
      </c>
      <c r="L272" s="135">
        <f>IFERROR(VLOOKUP(C272,'03_TCT MAQUEDA'!$D$50:$M$55,10,FALSE),"")</f>
        <v>25</v>
      </c>
      <c r="M272" s="135">
        <f>IFERROR(VLOOKUP(C272,'03_TCT MAQUEDA'!$D$50:$O$55,12,FALSE),"")</f>
        <v>10</v>
      </c>
      <c r="N272" s="138">
        <f>(L272+M272)</f>
        <v>35</v>
      </c>
      <c r="O272" s="135"/>
      <c r="P272" s="135"/>
      <c r="Q272" s="138"/>
      <c r="R272" s="135"/>
      <c r="S272" s="135"/>
      <c r="T272" s="138"/>
      <c r="U272" s="135"/>
      <c r="V272" s="135"/>
      <c r="W272" s="138"/>
      <c r="X272" s="139">
        <f t="shared" ref="X272:X277" si="40">H272+K272+N272+Q272+T272+W272</f>
        <v>140</v>
      </c>
      <c r="Y272" s="140" t="str">
        <f t="shared" ref="Y272:Y277" si="41">IF(Z272&gt;=3,"Sí","No")</f>
        <v>Sí</v>
      </c>
      <c r="Z272" s="141">
        <f>COUNTA(H272,K272,N272,Q272,T272,W272)</f>
        <v>3</v>
      </c>
    </row>
    <row r="273" spans="2:28" ht="13" x14ac:dyDescent="0.3">
      <c r="B273" s="133">
        <v>2</v>
      </c>
      <c r="C273" s="142" t="s">
        <v>655</v>
      </c>
      <c r="D273" s="227">
        <v>7</v>
      </c>
      <c r="E273" s="227"/>
      <c r="F273" s="135">
        <f>IFERROR(VLOOKUP(C273,'01_RS ALCARRIA'!$D$50:$M$55,10,FALSE),"")</f>
        <v>20</v>
      </c>
      <c r="G273" s="135">
        <f>IFERROR(VLOOKUP(C273,'01_RS ALCARRIA'!$D$50:$O$55,12,FALSE),"")</f>
        <v>8</v>
      </c>
      <c r="H273" s="138">
        <f t="shared" si="39"/>
        <v>56</v>
      </c>
      <c r="I273" s="135">
        <f>IFERROR(VLOOKUP(C273,'02_TCT GUADAMUR'!$D$50:$M$55,10,FALSE),"")</f>
        <v>20</v>
      </c>
      <c r="J273" s="135">
        <f>IFERROR(VLOOKUP(C273,'02_TCT GUADAMUR'!$D$50:$O$55,12,FALSE),"")</f>
        <v>8</v>
      </c>
      <c r="K273" s="138">
        <f>(I273+J273)</f>
        <v>28</v>
      </c>
      <c r="L273" s="135">
        <v>0</v>
      </c>
      <c r="M273" s="135">
        <v>0</v>
      </c>
      <c r="N273" s="138">
        <f>(L273+M273)</f>
        <v>0</v>
      </c>
      <c r="O273" s="135"/>
      <c r="P273" s="135"/>
      <c r="Q273" s="138"/>
      <c r="R273" s="135"/>
      <c r="S273" s="135"/>
      <c r="T273" s="138"/>
      <c r="U273" s="135"/>
      <c r="V273" s="135"/>
      <c r="W273" s="138"/>
      <c r="X273" s="139">
        <f t="shared" si="40"/>
        <v>84</v>
      </c>
      <c r="Y273" s="140" t="str">
        <f t="shared" si="41"/>
        <v>Sí</v>
      </c>
      <c r="Z273" s="141">
        <f t="shared" ref="Z273:Z277" si="42">COUNTA(H273,K273,N273,Q273,T273,W273)</f>
        <v>3</v>
      </c>
    </row>
    <row r="274" spans="2:28" ht="13" x14ac:dyDescent="0.3">
      <c r="B274" s="133">
        <v>3</v>
      </c>
      <c r="C274" s="134" t="s">
        <v>642</v>
      </c>
      <c r="D274" s="227">
        <v>7</v>
      </c>
      <c r="E274" s="227"/>
      <c r="F274" s="135">
        <f>IFERROR(VLOOKUP(C274,'01_RS ALCARRIA'!$D$50:$M$55,10,FALSE),"")</f>
        <v>15</v>
      </c>
      <c r="G274" s="135">
        <f>IFERROR(VLOOKUP(C274,'01_RS ALCARRIA'!$D$50:$O$55,12,FALSE),"")</f>
        <v>5</v>
      </c>
      <c r="H274" s="138">
        <f t="shared" si="39"/>
        <v>40</v>
      </c>
      <c r="I274" s="135">
        <v>0</v>
      </c>
      <c r="J274" s="135">
        <v>0</v>
      </c>
      <c r="K274" s="138">
        <f>(I274+J274)</f>
        <v>0</v>
      </c>
      <c r="L274" s="135">
        <f>IFERROR(VLOOKUP(C274,'03_TCT MAQUEDA'!$D$50:$M$55,10,FALSE),"")</f>
        <v>20</v>
      </c>
      <c r="M274" s="135">
        <f>IFERROR(VLOOKUP(C274,'03_TCT MAQUEDA'!$D$50:$O$55,12,FALSE),"")</f>
        <v>8</v>
      </c>
      <c r="N274" s="138">
        <f>(L274+M274)</f>
        <v>28</v>
      </c>
      <c r="O274" s="135"/>
      <c r="P274" s="135"/>
      <c r="Q274" s="138"/>
      <c r="R274" s="135"/>
      <c r="S274" s="135"/>
      <c r="T274" s="138"/>
      <c r="U274" s="135"/>
      <c r="V274" s="135"/>
      <c r="W274" s="138"/>
      <c r="X274" s="139">
        <f t="shared" si="40"/>
        <v>68</v>
      </c>
      <c r="Y274" s="140" t="str">
        <f t="shared" si="41"/>
        <v>Sí</v>
      </c>
      <c r="Z274" s="141">
        <f t="shared" si="42"/>
        <v>3</v>
      </c>
    </row>
    <row r="275" spans="2:28" ht="13" x14ac:dyDescent="0.3">
      <c r="B275" s="133">
        <v>4</v>
      </c>
      <c r="C275" s="134" t="s">
        <v>643</v>
      </c>
      <c r="D275" s="227">
        <v>7</v>
      </c>
      <c r="E275" s="227"/>
      <c r="F275" s="135">
        <f>IFERROR(VLOOKUP(C275,'01_RS ALCARRIA'!$D$50:$M$55,10,FALSE),"")</f>
        <v>12</v>
      </c>
      <c r="G275" s="135">
        <f>IFERROR(VLOOKUP(C275,'01_RS ALCARRIA'!$D$50:$O$55,12,FALSE),"")</f>
        <v>3</v>
      </c>
      <c r="H275" s="138">
        <f t="shared" si="39"/>
        <v>30</v>
      </c>
      <c r="I275" s="135"/>
      <c r="J275" s="135"/>
      <c r="K275" s="138"/>
      <c r="L275" s="135">
        <f>IFERROR(VLOOKUP(C275,'03_TCT MAQUEDA'!$D$50:$M$55,10,FALSE),"")</f>
        <v>17</v>
      </c>
      <c r="M275" s="135">
        <f>IFERROR(VLOOKUP(C275,'03_TCT MAQUEDA'!$D$50:$O$55,12,FALSE),"")</f>
        <v>6</v>
      </c>
      <c r="N275" s="138">
        <f>(L275+M275)</f>
        <v>23</v>
      </c>
      <c r="O275" s="135"/>
      <c r="P275" s="135"/>
      <c r="Q275" s="138"/>
      <c r="R275" s="135"/>
      <c r="S275" s="135"/>
      <c r="T275" s="138"/>
      <c r="U275" s="135"/>
      <c r="V275" s="135"/>
      <c r="W275" s="138"/>
      <c r="X275" s="139">
        <f t="shared" si="40"/>
        <v>53</v>
      </c>
      <c r="Y275" s="140" t="str">
        <f t="shared" si="41"/>
        <v>No</v>
      </c>
      <c r="Z275" s="141">
        <f t="shared" si="42"/>
        <v>2</v>
      </c>
    </row>
    <row r="276" spans="2:28" ht="13" x14ac:dyDescent="0.3">
      <c r="B276" s="133">
        <v>5</v>
      </c>
      <c r="C276" s="134" t="s">
        <v>264</v>
      </c>
      <c r="D276" s="227">
        <v>7</v>
      </c>
      <c r="E276" s="227"/>
      <c r="F276" s="135">
        <f>IFERROR(VLOOKUP(C276,'01_RS ALCARRIA'!$D$50:$M$55,10,FALSE),"")</f>
        <v>17</v>
      </c>
      <c r="G276" s="135">
        <f>IFERROR(VLOOKUP(C276,'01_RS ALCARRIA'!$D$50:$O$55,12,FALSE),"")</f>
        <v>6</v>
      </c>
      <c r="H276" s="138">
        <f t="shared" si="39"/>
        <v>46</v>
      </c>
      <c r="I276" s="135"/>
      <c r="J276" s="135"/>
      <c r="K276" s="138"/>
      <c r="L276" s="135"/>
      <c r="M276" s="135"/>
      <c r="N276" s="138"/>
      <c r="O276" s="135"/>
      <c r="P276" s="135"/>
      <c r="Q276" s="138"/>
      <c r="R276" s="135"/>
      <c r="S276" s="135"/>
      <c r="T276" s="138"/>
      <c r="U276" s="135"/>
      <c r="V276" s="135"/>
      <c r="W276" s="138"/>
      <c r="X276" s="139">
        <f t="shared" si="40"/>
        <v>46</v>
      </c>
      <c r="Y276" s="140" t="str">
        <f t="shared" si="41"/>
        <v>No</v>
      </c>
      <c r="Z276" s="141">
        <f t="shared" si="42"/>
        <v>1</v>
      </c>
    </row>
    <row r="277" spans="2:28" ht="13" x14ac:dyDescent="0.3">
      <c r="B277" s="133">
        <v>6</v>
      </c>
      <c r="C277" s="134" t="s">
        <v>644</v>
      </c>
      <c r="D277" s="227">
        <v>7</v>
      </c>
      <c r="E277" s="227"/>
      <c r="F277" s="135">
        <v>0</v>
      </c>
      <c r="G277" s="135">
        <v>0</v>
      </c>
      <c r="H277" s="138">
        <f t="shared" si="39"/>
        <v>0</v>
      </c>
      <c r="I277" s="135">
        <f>IFERROR(VLOOKUP(C277,'02_TCT GUADAMUR'!$D$50:$M$55,10,FALSE),"")</f>
        <v>17</v>
      </c>
      <c r="J277" s="135">
        <f>IFERROR(VLOOKUP(C277,'02_TCT GUADAMUR'!$D$50:$O$55,12,FALSE),"")</f>
        <v>6</v>
      </c>
      <c r="K277" s="138">
        <f>(I277+J277)</f>
        <v>23</v>
      </c>
      <c r="L277" s="135"/>
      <c r="M277" s="135"/>
      <c r="N277" s="138"/>
      <c r="O277" s="135"/>
      <c r="P277" s="135"/>
      <c r="Q277" s="138"/>
      <c r="R277" s="135"/>
      <c r="S277" s="135"/>
      <c r="T277" s="138"/>
      <c r="U277" s="135"/>
      <c r="V277" s="135"/>
      <c r="W277" s="138"/>
      <c r="X277" s="139">
        <f t="shared" si="40"/>
        <v>23</v>
      </c>
      <c r="Y277" s="140" t="str">
        <f t="shared" si="41"/>
        <v>No</v>
      </c>
      <c r="Z277" s="141">
        <f t="shared" si="42"/>
        <v>2</v>
      </c>
    </row>
    <row r="278" spans="2:28" ht="13" x14ac:dyDescent="0.3">
      <c r="B278" s="152"/>
      <c r="C278" s="242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127"/>
    </row>
    <row r="279" spans="2:28" ht="12.75" customHeight="1" x14ac:dyDescent="0.3">
      <c r="B279" s="1"/>
      <c r="C279" s="235"/>
      <c r="D279" s="284"/>
      <c r="E279" s="285" t="s">
        <v>534</v>
      </c>
      <c r="F279" s="147"/>
      <c r="G279" s="147"/>
      <c r="H279" s="147"/>
      <c r="I279" s="147"/>
      <c r="J279" s="147"/>
      <c r="K279" s="147"/>
      <c r="L279" s="147"/>
      <c r="M279" s="147"/>
      <c r="N279" s="147"/>
      <c r="O279" s="147"/>
      <c r="P279" s="147"/>
      <c r="Q279" s="147"/>
      <c r="R279" s="147"/>
      <c r="S279" s="147"/>
      <c r="T279" s="147"/>
      <c r="U279" s="147"/>
      <c r="V279" s="147"/>
      <c r="W279" s="147"/>
      <c r="X279" s="147"/>
      <c r="Y279" s="147"/>
      <c r="Z279" s="147"/>
      <c r="AA279" s="148"/>
      <c r="AB279" s="262"/>
    </row>
    <row r="280" spans="2:28" ht="13" x14ac:dyDescent="0.3">
      <c r="B280" s="4"/>
      <c r="C280" s="4"/>
      <c r="D280" s="142" t="s">
        <v>691</v>
      </c>
      <c r="E280" s="130" t="s">
        <v>510</v>
      </c>
      <c r="F280" s="155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149"/>
      <c r="Z280" s="127"/>
    </row>
    <row r="281" spans="2:28" ht="39" customHeight="1" x14ac:dyDescent="0.55000000000000004">
      <c r="B281" s="164" t="s">
        <v>518</v>
      </c>
      <c r="C281" s="165"/>
      <c r="D281" s="165"/>
      <c r="E281" s="165"/>
      <c r="F281" s="165"/>
      <c r="G281" s="165"/>
      <c r="H281" s="165"/>
      <c r="I281" s="165"/>
      <c r="J281" s="165"/>
      <c r="K281" s="165"/>
      <c r="L281" s="165"/>
      <c r="M281" s="165"/>
      <c r="N281" s="165"/>
      <c r="O281" s="165"/>
      <c r="P281" s="165"/>
      <c r="Q281" s="165"/>
      <c r="R281" s="165"/>
      <c r="S281" s="165"/>
      <c r="T281" s="165"/>
      <c r="U281" s="165"/>
      <c r="V281" s="165"/>
      <c r="W281" s="165"/>
      <c r="X281" s="165"/>
    </row>
    <row r="282" spans="2:28" ht="37.5" customHeight="1" x14ac:dyDescent="0.3">
      <c r="B282" s="166" t="s">
        <v>338</v>
      </c>
      <c r="C282" s="167"/>
      <c r="D282" s="167"/>
      <c r="E282" s="167"/>
      <c r="F282" s="167"/>
      <c r="G282" s="167"/>
      <c r="H282" s="167"/>
      <c r="I282" s="167"/>
      <c r="J282" s="167"/>
      <c r="K282" s="167"/>
      <c r="L282" s="167"/>
      <c r="M282" s="167"/>
      <c r="N282" s="167"/>
      <c r="O282" s="167"/>
      <c r="P282" s="167"/>
      <c r="Q282" s="167"/>
      <c r="R282" s="167"/>
      <c r="S282" s="167"/>
      <c r="T282" s="167"/>
      <c r="U282" s="167"/>
      <c r="V282" s="167"/>
      <c r="W282" s="167"/>
      <c r="X282" s="167"/>
      <c r="Y282" s="30"/>
      <c r="Z282" s="30"/>
    </row>
    <row r="283" spans="2:28" ht="12.75" customHeight="1" x14ac:dyDescent="0.3">
      <c r="B283" s="162"/>
      <c r="C283" s="168"/>
      <c r="D283" s="161"/>
      <c r="E283" s="161"/>
      <c r="F283" s="222" t="s">
        <v>220</v>
      </c>
      <c r="G283" s="223"/>
      <c r="H283" s="224"/>
      <c r="I283" s="222" t="s">
        <v>663</v>
      </c>
      <c r="J283" s="225"/>
      <c r="K283" s="226"/>
      <c r="L283" s="222" t="s">
        <v>532</v>
      </c>
      <c r="M283" s="225"/>
      <c r="N283" s="226"/>
      <c r="O283" s="222" t="s">
        <v>526</v>
      </c>
      <c r="P283" s="225"/>
      <c r="Q283" s="226"/>
      <c r="R283" s="222" t="s">
        <v>287</v>
      </c>
      <c r="S283" s="225"/>
      <c r="T283" s="226"/>
      <c r="U283" s="413" t="s">
        <v>527</v>
      </c>
      <c r="V283" s="226"/>
      <c r="W283" s="226"/>
      <c r="X283" s="161" t="s">
        <v>213</v>
      </c>
      <c r="Y283" s="30"/>
      <c r="Z283" s="30"/>
    </row>
    <row r="284" spans="2:28" ht="12.75" customHeight="1" x14ac:dyDescent="0.3">
      <c r="B284" s="159" t="s">
        <v>0</v>
      </c>
      <c r="C284" s="170" t="s">
        <v>166</v>
      </c>
      <c r="D284" s="160" t="s">
        <v>2</v>
      </c>
      <c r="E284" s="160" t="s">
        <v>3</v>
      </c>
      <c r="F284" s="217" t="s">
        <v>523</v>
      </c>
      <c r="G284" s="218"/>
      <c r="H284" s="219"/>
      <c r="I284" s="217" t="s">
        <v>525</v>
      </c>
      <c r="J284" s="220"/>
      <c r="K284" s="221"/>
      <c r="L284" s="217" t="s">
        <v>664</v>
      </c>
      <c r="M284" s="220"/>
      <c r="N284" s="221"/>
      <c r="O284" s="217" t="s">
        <v>529</v>
      </c>
      <c r="P284" s="220"/>
      <c r="Q284" s="221"/>
      <c r="R284" s="217" t="s">
        <v>530</v>
      </c>
      <c r="S284" s="220"/>
      <c r="T284" s="221"/>
      <c r="U284" s="414" t="s">
        <v>528</v>
      </c>
      <c r="V284" s="255"/>
      <c r="W284" s="415"/>
      <c r="X284" s="160" t="s">
        <v>9</v>
      </c>
      <c r="Y284" s="519" t="s">
        <v>223</v>
      </c>
      <c r="Z284" s="521" t="s">
        <v>4</v>
      </c>
    </row>
    <row r="285" spans="2:28" ht="12.75" customHeight="1" x14ac:dyDescent="0.3">
      <c r="B285" s="163"/>
      <c r="C285" s="169"/>
      <c r="D285" s="157"/>
      <c r="E285" s="157"/>
      <c r="F285" s="131" t="s">
        <v>33</v>
      </c>
      <c r="G285" s="131" t="s">
        <v>34</v>
      </c>
      <c r="H285" s="132" t="s">
        <v>35</v>
      </c>
      <c r="I285" s="131" t="s">
        <v>33</v>
      </c>
      <c r="J285" s="131" t="s">
        <v>34</v>
      </c>
      <c r="K285" s="132" t="s">
        <v>35</v>
      </c>
      <c r="L285" s="131" t="s">
        <v>33</v>
      </c>
      <c r="M285" s="131" t="s">
        <v>34</v>
      </c>
      <c r="N285" s="132" t="s">
        <v>35</v>
      </c>
      <c r="O285" s="131" t="s">
        <v>33</v>
      </c>
      <c r="P285" s="131" t="s">
        <v>34</v>
      </c>
      <c r="Q285" s="132" t="s">
        <v>35</v>
      </c>
      <c r="R285" s="131" t="s">
        <v>33</v>
      </c>
      <c r="S285" s="131" t="s">
        <v>34</v>
      </c>
      <c r="T285" s="132" t="s">
        <v>35</v>
      </c>
      <c r="U285" s="131" t="s">
        <v>33</v>
      </c>
      <c r="V285" s="131" t="s">
        <v>34</v>
      </c>
      <c r="W285" s="132" t="s">
        <v>35</v>
      </c>
      <c r="X285" s="157"/>
      <c r="Y285" s="520"/>
      <c r="Z285" s="522"/>
    </row>
    <row r="286" spans="2:28" ht="12.75" customHeight="1" x14ac:dyDescent="0.3">
      <c r="B286" s="133">
        <v>1</v>
      </c>
      <c r="C286" s="134" t="s">
        <v>358</v>
      </c>
      <c r="D286" s="227">
        <v>7</v>
      </c>
      <c r="E286" s="227"/>
      <c r="F286" s="135">
        <f>IFERROR(VLOOKUP(C286,'01_RS ALCARRIA'!$F$50:$R$55,13,FALSE),"")</f>
        <v>25</v>
      </c>
      <c r="G286" s="135">
        <f>IFERROR(VLOOKUP(C286,'01_RS ALCARRIA'!$F$50:$T$55,15,FALSE),"")</f>
        <v>10</v>
      </c>
      <c r="H286" s="138">
        <f t="shared" ref="H286:H291" si="43">(F286+G286)*2</f>
        <v>70</v>
      </c>
      <c r="I286" s="135">
        <f>IFERROR(VLOOKUP(C286,'02_TCT GUADAMUR'!$F$50:$R$55,13,FALSE),"")</f>
        <v>25</v>
      </c>
      <c r="J286" s="135">
        <f>IFERROR(VLOOKUP(C286,'02_TCT GUADAMUR'!$F$50:$T$55,15,FALSE),"")</f>
        <v>10</v>
      </c>
      <c r="K286" s="138">
        <f>(I286+J286)</f>
        <v>35</v>
      </c>
      <c r="L286" s="135">
        <f>IFERROR(VLOOKUP(C286,'03_TCT MAQUEDA'!$F$50:$R$55,13,FALSE),"")</f>
        <v>25</v>
      </c>
      <c r="M286" s="135">
        <f>IFERROR(VLOOKUP(C286,'03_TCT MAQUEDA'!$F$50:$T$55,15,FALSE),"")</f>
        <v>10</v>
      </c>
      <c r="N286" s="138">
        <f>(L286+M286)</f>
        <v>35</v>
      </c>
      <c r="O286" s="135"/>
      <c r="P286" s="135"/>
      <c r="Q286" s="135"/>
      <c r="R286" s="135"/>
      <c r="S286" s="135"/>
      <c r="T286" s="135"/>
      <c r="U286" s="135"/>
      <c r="V286" s="135"/>
      <c r="W286" s="135"/>
      <c r="X286" s="139">
        <f t="shared" ref="X286:X292" si="44">H286+K286+N286+Q286+T286+W286</f>
        <v>140</v>
      </c>
      <c r="Y286" s="140" t="str">
        <f t="shared" ref="Y286:Y292" si="45">IF(Z286&gt;=3,"Sí","No")</f>
        <v>Sí</v>
      </c>
      <c r="Z286" s="141">
        <f>COUNTA(H286,K286,N286,Q286,T286,W286)</f>
        <v>3</v>
      </c>
    </row>
    <row r="287" spans="2:28" ht="13" x14ac:dyDescent="0.3">
      <c r="B287" s="133">
        <v>2</v>
      </c>
      <c r="C287" s="134" t="s">
        <v>360</v>
      </c>
      <c r="D287" s="227">
        <v>7</v>
      </c>
      <c r="E287" s="227"/>
      <c r="F287" s="135">
        <f>IFERROR(VLOOKUP(C287,'01_RS ALCARRIA'!$F$50:$R$55,13,FALSE),"")</f>
        <v>20</v>
      </c>
      <c r="G287" s="135">
        <f>IFERROR(VLOOKUP(C287,'01_RS ALCARRIA'!$F$50:$T$55,15,FALSE),"")</f>
        <v>8</v>
      </c>
      <c r="H287" s="138">
        <f t="shared" si="43"/>
        <v>56</v>
      </c>
      <c r="I287" s="135">
        <f>IFERROR(VLOOKUP(C287,'02_TCT GUADAMUR'!$F$50:$R$55,13,FALSE),"")</f>
        <v>20</v>
      </c>
      <c r="J287" s="135">
        <f>IFERROR(VLOOKUP(C287,'02_TCT GUADAMUR'!$F$50:$T$55,15,FALSE),"")</f>
        <v>8</v>
      </c>
      <c r="K287" s="138">
        <f>(I287+J287)</f>
        <v>28</v>
      </c>
      <c r="L287" s="135">
        <v>0</v>
      </c>
      <c r="M287" s="135">
        <v>0</v>
      </c>
      <c r="N287" s="138">
        <f>(L287+M287)</f>
        <v>0</v>
      </c>
      <c r="O287" s="135"/>
      <c r="P287" s="135"/>
      <c r="Q287" s="135"/>
      <c r="R287" s="135"/>
      <c r="S287" s="135"/>
      <c r="T287" s="135"/>
      <c r="U287" s="135"/>
      <c r="V287" s="135"/>
      <c r="W287" s="135"/>
      <c r="X287" s="139">
        <f t="shared" si="44"/>
        <v>84</v>
      </c>
      <c r="Y287" s="140" t="str">
        <f t="shared" si="45"/>
        <v>Sí</v>
      </c>
      <c r="Z287" s="141">
        <f t="shared" ref="Z287:Z292" si="46">COUNTA(H287,K287,N287,Q287,T287,W287)</f>
        <v>3</v>
      </c>
    </row>
    <row r="288" spans="2:28" ht="13" x14ac:dyDescent="0.3">
      <c r="B288" s="133">
        <v>3</v>
      </c>
      <c r="C288" s="134" t="s">
        <v>426</v>
      </c>
      <c r="D288" s="227">
        <v>7</v>
      </c>
      <c r="E288" s="227"/>
      <c r="F288" s="135">
        <f>IFERROR(VLOOKUP(C288,'01_RS ALCARRIA'!$F$50:$R$55,13,FALSE),"")</f>
        <v>15</v>
      </c>
      <c r="G288" s="135">
        <f>IFERROR(VLOOKUP(C288,'01_RS ALCARRIA'!$F$50:$T$55,15,FALSE),"")</f>
        <v>5</v>
      </c>
      <c r="H288" s="138">
        <f t="shared" si="43"/>
        <v>40</v>
      </c>
      <c r="I288" s="135">
        <v>0</v>
      </c>
      <c r="J288" s="135">
        <v>0</v>
      </c>
      <c r="K288" s="138">
        <f>(I288+J288)</f>
        <v>0</v>
      </c>
      <c r="L288" s="135">
        <f>IFERROR(VLOOKUP(C288,'03_TCT MAQUEDA'!$F$50:$R$55,13,FALSE),"")</f>
        <v>20</v>
      </c>
      <c r="M288" s="135">
        <f>IFERROR(VLOOKUP(C288,'03_TCT MAQUEDA'!$F$50:$T$55,15,FALSE),"")</f>
        <v>8</v>
      </c>
      <c r="N288" s="138">
        <f>(L288+M288)</f>
        <v>28</v>
      </c>
      <c r="O288" s="135"/>
      <c r="P288" s="135"/>
      <c r="Q288" s="135"/>
      <c r="R288" s="135"/>
      <c r="S288" s="135"/>
      <c r="T288" s="135"/>
      <c r="U288" s="135"/>
      <c r="V288" s="135"/>
      <c r="W288" s="135"/>
      <c r="X288" s="139">
        <f t="shared" si="44"/>
        <v>68</v>
      </c>
      <c r="Y288" s="140" t="str">
        <f t="shared" si="45"/>
        <v>Sí</v>
      </c>
      <c r="Z288" s="141">
        <f t="shared" si="46"/>
        <v>3</v>
      </c>
    </row>
    <row r="289" spans="2:28" ht="13" x14ac:dyDescent="0.3">
      <c r="B289" s="133">
        <v>4</v>
      </c>
      <c r="C289" s="134" t="s">
        <v>641</v>
      </c>
      <c r="D289" s="227">
        <v>7</v>
      </c>
      <c r="E289" s="227"/>
      <c r="F289" s="135">
        <f>IFERROR(VLOOKUP(C289,'01_RS ALCARRIA'!$F$50:$R$55,13,FALSE),"")</f>
        <v>17</v>
      </c>
      <c r="G289" s="135">
        <f>IFERROR(VLOOKUP(C289,'01_RS ALCARRIA'!$F$50:$T$55,15,FALSE),"")</f>
        <v>6</v>
      </c>
      <c r="H289" s="138">
        <f t="shared" si="43"/>
        <v>46</v>
      </c>
      <c r="I289" s="135"/>
      <c r="J289" s="135"/>
      <c r="K289" s="138"/>
      <c r="L289" s="135"/>
      <c r="M289" s="135"/>
      <c r="N289" s="138"/>
      <c r="O289" s="135"/>
      <c r="P289" s="135"/>
      <c r="Q289" s="135"/>
      <c r="R289" s="135"/>
      <c r="S289" s="135"/>
      <c r="T289" s="135"/>
      <c r="U289" s="135"/>
      <c r="V289" s="135"/>
      <c r="W289" s="135"/>
      <c r="X289" s="139">
        <f t="shared" si="44"/>
        <v>46</v>
      </c>
      <c r="Y289" s="140" t="str">
        <f t="shared" si="45"/>
        <v>No</v>
      </c>
      <c r="Z289" s="141">
        <f t="shared" si="46"/>
        <v>1</v>
      </c>
    </row>
    <row r="290" spans="2:28" ht="13" x14ac:dyDescent="0.3">
      <c r="B290" s="133">
        <v>5</v>
      </c>
      <c r="C290" s="134" t="s">
        <v>398</v>
      </c>
      <c r="D290" s="227">
        <v>7</v>
      </c>
      <c r="E290" s="227"/>
      <c r="F290" s="135">
        <f>IFERROR(VLOOKUP(C290,'01_RS ALCARRIA'!$F$50:$R$55,13,FALSE),"")</f>
        <v>12</v>
      </c>
      <c r="G290" s="135">
        <f>IFERROR(VLOOKUP(C290,'01_RS ALCARRIA'!$F$50:$T$55,15,FALSE),"")</f>
        <v>3</v>
      </c>
      <c r="H290" s="138">
        <f t="shared" si="43"/>
        <v>30</v>
      </c>
      <c r="I290" s="135"/>
      <c r="J290" s="135"/>
      <c r="K290" s="138"/>
      <c r="L290" s="135"/>
      <c r="M290" s="135"/>
      <c r="N290" s="138"/>
      <c r="O290" s="135"/>
      <c r="P290" s="135"/>
      <c r="Q290" s="135"/>
      <c r="R290" s="135"/>
      <c r="S290" s="135"/>
      <c r="T290" s="135"/>
      <c r="U290" s="135"/>
      <c r="V290" s="135"/>
      <c r="W290" s="135"/>
      <c r="X290" s="139">
        <f t="shared" si="44"/>
        <v>30</v>
      </c>
      <c r="Y290" s="140" t="str">
        <f t="shared" si="45"/>
        <v>No</v>
      </c>
      <c r="Z290" s="141">
        <f t="shared" si="46"/>
        <v>1</v>
      </c>
    </row>
    <row r="291" spans="2:28" ht="13" x14ac:dyDescent="0.3">
      <c r="B291" s="133">
        <v>6</v>
      </c>
      <c r="C291" s="134" t="s">
        <v>645</v>
      </c>
      <c r="D291" s="227">
        <v>7</v>
      </c>
      <c r="E291" s="227"/>
      <c r="F291" s="135">
        <v>0</v>
      </c>
      <c r="G291" s="135">
        <v>0</v>
      </c>
      <c r="H291" s="138">
        <f t="shared" si="43"/>
        <v>0</v>
      </c>
      <c r="I291" s="135">
        <f>IFERROR(VLOOKUP(C291,'02_TCT GUADAMUR'!$F$50:$R$55,13,FALSE),"")</f>
        <v>17</v>
      </c>
      <c r="J291" s="135">
        <f>IFERROR(VLOOKUP(C291,'02_TCT GUADAMUR'!$F$50:$T$55,15,FALSE),"")</f>
        <v>6</v>
      </c>
      <c r="K291" s="138">
        <f>(I291+J291)</f>
        <v>23</v>
      </c>
      <c r="L291" s="135"/>
      <c r="M291" s="135"/>
      <c r="N291" s="138"/>
      <c r="O291" s="135"/>
      <c r="P291" s="135"/>
      <c r="Q291" s="135"/>
      <c r="R291" s="135"/>
      <c r="S291" s="135"/>
      <c r="T291" s="135"/>
      <c r="U291" s="135"/>
      <c r="V291" s="135"/>
      <c r="W291" s="135"/>
      <c r="X291" s="139">
        <f t="shared" si="44"/>
        <v>23</v>
      </c>
      <c r="Y291" s="140" t="str">
        <f t="shared" si="45"/>
        <v>No</v>
      </c>
      <c r="Z291" s="141">
        <f t="shared" si="46"/>
        <v>2</v>
      </c>
    </row>
    <row r="292" spans="2:28" ht="13" x14ac:dyDescent="0.3">
      <c r="B292" s="133">
        <v>6</v>
      </c>
      <c r="C292" s="134" t="s">
        <v>706</v>
      </c>
      <c r="D292" s="227">
        <v>7</v>
      </c>
      <c r="E292" s="227"/>
      <c r="F292" s="135"/>
      <c r="G292" s="135"/>
      <c r="H292" s="138"/>
      <c r="I292" s="135"/>
      <c r="J292" s="135"/>
      <c r="K292" s="138"/>
      <c r="L292" s="135">
        <f>IFERROR(VLOOKUP(C292,'03_TCT MAQUEDA'!$F$50:$R$55,13,FALSE),"")</f>
        <v>17</v>
      </c>
      <c r="M292" s="135">
        <f>IFERROR(VLOOKUP(C292,'03_TCT MAQUEDA'!$F$50:$T$55,15,FALSE),"")</f>
        <v>6</v>
      </c>
      <c r="N292" s="138">
        <f>(L292+M292)</f>
        <v>23</v>
      </c>
      <c r="O292" s="135"/>
      <c r="P292" s="135"/>
      <c r="Q292" s="135"/>
      <c r="R292" s="135"/>
      <c r="S292" s="135"/>
      <c r="T292" s="135"/>
      <c r="U292" s="135"/>
      <c r="V292" s="135"/>
      <c r="W292" s="135"/>
      <c r="X292" s="139">
        <f t="shared" si="44"/>
        <v>23</v>
      </c>
      <c r="Y292" s="140" t="str">
        <f t="shared" si="45"/>
        <v>No</v>
      </c>
      <c r="Z292" s="141">
        <f t="shared" si="46"/>
        <v>1</v>
      </c>
    </row>
    <row r="293" spans="2:28" ht="13" x14ac:dyDescent="0.3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149"/>
      <c r="Z293" s="127"/>
    </row>
    <row r="294" spans="2:28" ht="12.75" customHeight="1" x14ac:dyDescent="0.3">
      <c r="B294" s="1"/>
      <c r="C294" s="235"/>
      <c r="D294" s="284"/>
      <c r="E294" s="285" t="s">
        <v>534</v>
      </c>
      <c r="F294" s="147"/>
      <c r="G294" s="147"/>
      <c r="H294" s="147"/>
      <c r="I294" s="147"/>
      <c r="J294" s="147"/>
      <c r="K294" s="147"/>
      <c r="L294" s="147"/>
      <c r="M294" s="147"/>
      <c r="N294" s="147"/>
      <c r="O294" s="147"/>
      <c r="P294" s="147"/>
      <c r="Q294" s="147"/>
      <c r="R294" s="147"/>
      <c r="S294" s="147"/>
      <c r="T294" s="147"/>
      <c r="U294" s="147"/>
      <c r="V294" s="147"/>
      <c r="W294" s="147"/>
      <c r="X294" s="147"/>
      <c r="Y294" s="147"/>
      <c r="Z294" s="147"/>
      <c r="AA294" s="148"/>
      <c r="AB294" s="262"/>
    </row>
    <row r="295" spans="2:28" ht="13" x14ac:dyDescent="0.3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149"/>
      <c r="Z295" s="127"/>
    </row>
    <row r="296" spans="2:28" ht="39" customHeight="1" x14ac:dyDescent="0.55000000000000004">
      <c r="B296" s="164" t="s">
        <v>519</v>
      </c>
      <c r="C296" s="165"/>
      <c r="D296" s="165"/>
      <c r="E296" s="165"/>
      <c r="F296" s="165"/>
      <c r="G296" s="165"/>
      <c r="H296" s="165"/>
      <c r="I296" s="165"/>
      <c r="J296" s="165"/>
      <c r="K296" s="165"/>
      <c r="L296" s="165"/>
      <c r="M296" s="165"/>
      <c r="N296" s="165"/>
      <c r="O296" s="165"/>
      <c r="P296" s="165"/>
      <c r="Q296" s="165"/>
      <c r="R296" s="165"/>
      <c r="S296" s="165"/>
      <c r="T296" s="165"/>
      <c r="U296" s="165"/>
      <c r="V296" s="4"/>
      <c r="W296" s="4"/>
      <c r="X296" s="4"/>
    </row>
    <row r="297" spans="2:28" ht="37.5" customHeight="1" x14ac:dyDescent="0.3">
      <c r="B297" s="166" t="s">
        <v>224</v>
      </c>
      <c r="C297" s="167"/>
      <c r="D297" s="167"/>
      <c r="E297" s="167"/>
      <c r="F297" s="167"/>
      <c r="G297" s="167"/>
      <c r="H297" s="167"/>
      <c r="I297" s="167"/>
      <c r="J297" s="167"/>
      <c r="K297" s="167"/>
      <c r="L297" s="167"/>
      <c r="M297" s="167"/>
      <c r="N297" s="167"/>
      <c r="O297" s="167"/>
      <c r="P297" s="167"/>
      <c r="Q297" s="167"/>
      <c r="R297" s="167"/>
      <c r="S297" s="167"/>
      <c r="T297" s="167"/>
      <c r="U297" s="303"/>
      <c r="V297" s="4"/>
      <c r="W297" s="4"/>
      <c r="X297" s="4"/>
      <c r="Y297" s="30"/>
      <c r="Z297" s="30"/>
    </row>
    <row r="298" spans="2:28" ht="12.75" customHeight="1" x14ac:dyDescent="0.3">
      <c r="B298" s="162"/>
      <c r="C298" s="168"/>
      <c r="D298" s="161"/>
      <c r="E298" s="161"/>
      <c r="F298" s="222" t="s">
        <v>220</v>
      </c>
      <c r="G298" s="223"/>
      <c r="H298" s="224"/>
      <c r="I298" s="222" t="s">
        <v>663</v>
      </c>
      <c r="J298" s="225"/>
      <c r="K298" s="226"/>
      <c r="L298" s="222" t="s">
        <v>532</v>
      </c>
      <c r="M298" s="225"/>
      <c r="N298" s="226"/>
      <c r="O298" s="222" t="s">
        <v>526</v>
      </c>
      <c r="P298" s="225"/>
      <c r="Q298" s="226"/>
      <c r="R298" s="413" t="s">
        <v>527</v>
      </c>
      <c r="S298" s="226"/>
      <c r="T298" s="225"/>
      <c r="U298" s="161" t="s">
        <v>213</v>
      </c>
      <c r="V298" s="4"/>
      <c r="W298" s="4"/>
      <c r="X298" s="4"/>
      <c r="Y298" s="30"/>
      <c r="Z298" s="30"/>
    </row>
    <row r="299" spans="2:28" ht="12.75" customHeight="1" x14ac:dyDescent="0.3">
      <c r="B299" s="159" t="s">
        <v>0</v>
      </c>
      <c r="C299" s="170" t="s">
        <v>1</v>
      </c>
      <c r="D299" s="160" t="s">
        <v>2</v>
      </c>
      <c r="E299" s="160" t="s">
        <v>3</v>
      </c>
      <c r="F299" s="217" t="s">
        <v>523</v>
      </c>
      <c r="G299" s="218"/>
      <c r="H299" s="219"/>
      <c r="I299" s="217" t="s">
        <v>525</v>
      </c>
      <c r="J299" s="220"/>
      <c r="K299" s="221"/>
      <c r="L299" s="217" t="s">
        <v>664</v>
      </c>
      <c r="M299" s="220"/>
      <c r="N299" s="221"/>
      <c r="O299" s="217" t="s">
        <v>529</v>
      </c>
      <c r="P299" s="220"/>
      <c r="Q299" s="221"/>
      <c r="R299" s="414" t="s">
        <v>528</v>
      </c>
      <c r="S299" s="255"/>
      <c r="T299" s="427"/>
      <c r="U299" s="160" t="s">
        <v>9</v>
      </c>
      <c r="V299" s="147"/>
      <c r="W299" s="147"/>
      <c r="X299" s="147"/>
      <c r="Y299" s="519" t="s">
        <v>223</v>
      </c>
      <c r="Z299" s="521" t="s">
        <v>4</v>
      </c>
    </row>
    <row r="300" spans="2:28" ht="12.75" customHeight="1" x14ac:dyDescent="0.3">
      <c r="B300" s="163"/>
      <c r="C300" s="169"/>
      <c r="D300" s="157"/>
      <c r="E300" s="157"/>
      <c r="F300" s="131" t="s">
        <v>33</v>
      </c>
      <c r="G300" s="131" t="s">
        <v>34</v>
      </c>
      <c r="H300" s="132" t="s">
        <v>35</v>
      </c>
      <c r="I300" s="131" t="s">
        <v>33</v>
      </c>
      <c r="J300" s="131" t="s">
        <v>34</v>
      </c>
      <c r="K300" s="132" t="s">
        <v>35</v>
      </c>
      <c r="L300" s="131" t="s">
        <v>33</v>
      </c>
      <c r="M300" s="131" t="s">
        <v>34</v>
      </c>
      <c r="N300" s="132" t="s">
        <v>35</v>
      </c>
      <c r="O300" s="131" t="s">
        <v>33</v>
      </c>
      <c r="P300" s="131" t="s">
        <v>34</v>
      </c>
      <c r="Q300" s="132" t="s">
        <v>35</v>
      </c>
      <c r="R300" s="131" t="s">
        <v>33</v>
      </c>
      <c r="S300" s="131" t="s">
        <v>34</v>
      </c>
      <c r="T300" s="515" t="s">
        <v>35</v>
      </c>
      <c r="U300" s="157"/>
      <c r="V300" s="4"/>
      <c r="W300" s="4"/>
      <c r="X300" s="4"/>
      <c r="Y300" s="520"/>
      <c r="Z300" s="522"/>
    </row>
    <row r="301" spans="2:28" ht="12.75" customHeight="1" x14ac:dyDescent="0.3">
      <c r="B301" s="133">
        <v>1</v>
      </c>
      <c r="C301" s="142" t="s">
        <v>647</v>
      </c>
      <c r="D301" s="227">
        <v>8</v>
      </c>
      <c r="E301" s="227"/>
      <c r="F301" s="135">
        <f>IFERROR(VLOOKUP(C301,'01_RS ALCARRIA'!$D$58:$M$61,10,FALSE),"")</f>
        <v>25</v>
      </c>
      <c r="G301" s="284">
        <f>IFERROR(VLOOKUP(C301,'01_RS ALCARRIA'!$D$58:$O$61,12,FALSE),"")/2</f>
        <v>5</v>
      </c>
      <c r="H301" s="138">
        <f>(F301+G301)*2</f>
        <v>60</v>
      </c>
      <c r="I301" s="135">
        <f>IFERROR(VLOOKUP(C301,'02_TCT GUADAMUR'!$D$58:$M$61,10,FALSE),"")</f>
        <v>25</v>
      </c>
      <c r="J301" s="284">
        <f>IFERROR(VLOOKUP(C301,'02_TCT GUADAMUR'!$D$58:$O$61,12,FALSE),"")/2</f>
        <v>5</v>
      </c>
      <c r="K301" s="138">
        <f>(I301+J301)</f>
        <v>30</v>
      </c>
      <c r="L301" s="135"/>
      <c r="M301" s="284"/>
      <c r="N301" s="138"/>
      <c r="O301" s="135"/>
      <c r="P301" s="135"/>
      <c r="Q301" s="138"/>
      <c r="R301" s="135"/>
      <c r="S301" s="135"/>
      <c r="T301" s="138"/>
      <c r="U301" s="420">
        <f>E301+H301+K301+N301+Q301+T301</f>
        <v>90</v>
      </c>
      <c r="V301" s="147"/>
      <c r="W301" s="147"/>
      <c r="X301" s="147"/>
      <c r="Y301" s="140" t="str">
        <f>IF(Z301&gt;=3,"Sí","No")</f>
        <v>No</v>
      </c>
      <c r="Z301" s="141">
        <f>COUNTA(H301,K301,N301,Q301,T301,W301)</f>
        <v>2</v>
      </c>
    </row>
    <row r="302" spans="2:28" ht="13" x14ac:dyDescent="0.3">
      <c r="B302" s="133">
        <v>2</v>
      </c>
      <c r="C302" s="142" t="s">
        <v>649</v>
      </c>
      <c r="D302" s="227">
        <v>8</v>
      </c>
      <c r="E302" s="227"/>
      <c r="F302" s="135">
        <v>0</v>
      </c>
      <c r="G302" s="135">
        <v>0</v>
      </c>
      <c r="H302" s="138">
        <f t="shared" ref="H302" si="47">(F302+G302)*2</f>
        <v>0</v>
      </c>
      <c r="I302" s="135"/>
      <c r="J302" s="135"/>
      <c r="K302" s="138"/>
      <c r="L302" s="135"/>
      <c r="M302" s="284"/>
      <c r="N302" s="138"/>
      <c r="O302" s="135"/>
      <c r="P302" s="135"/>
      <c r="Q302" s="138"/>
      <c r="R302" s="135"/>
      <c r="S302" s="135"/>
      <c r="T302" s="138"/>
      <c r="U302" s="139">
        <f t="shared" ref="U302" si="48">E302+H302+K302+N302+Q302+T302</f>
        <v>0</v>
      </c>
      <c r="V302" s="147"/>
      <c r="W302" s="147"/>
      <c r="X302" s="147"/>
      <c r="Y302" s="140" t="str">
        <f>IF(Z302&gt;=3,"Sí","No")</f>
        <v>No</v>
      </c>
      <c r="Z302" s="141">
        <f t="shared" ref="Z302" si="49">COUNTA(H302,K302,N302,Q302,T302,W302)</f>
        <v>1</v>
      </c>
    </row>
    <row r="303" spans="2:28" ht="13" x14ac:dyDescent="0.3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149"/>
      <c r="Z303" s="127"/>
    </row>
    <row r="304" spans="2:28" ht="12.75" customHeight="1" x14ac:dyDescent="0.3">
      <c r="B304" s="1"/>
      <c r="C304" s="235"/>
      <c r="D304" s="284"/>
      <c r="E304" s="285" t="s">
        <v>534</v>
      </c>
      <c r="F304" s="147"/>
      <c r="G304" s="147"/>
      <c r="H304" s="147"/>
      <c r="I304" s="147"/>
      <c r="J304" s="147"/>
      <c r="K304" s="147"/>
      <c r="L304" s="147"/>
      <c r="M304" s="147"/>
      <c r="N304" s="147"/>
      <c r="O304" s="147"/>
      <c r="P304" s="147"/>
      <c r="Q304" s="147"/>
      <c r="R304" s="147"/>
      <c r="S304" s="147"/>
      <c r="T304" s="147"/>
      <c r="U304" s="147"/>
      <c r="V304" s="147"/>
      <c r="W304" s="147"/>
      <c r="X304" s="147"/>
      <c r="Y304" s="147"/>
      <c r="Z304" s="147"/>
      <c r="AA304" s="148"/>
      <c r="AB304" s="262"/>
    </row>
    <row r="305" spans="2:28" ht="13" x14ac:dyDescent="0.3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149"/>
      <c r="Z305" s="127"/>
    </row>
    <row r="306" spans="2:28" ht="39" customHeight="1" x14ac:dyDescent="0.55000000000000004">
      <c r="B306" s="164" t="s">
        <v>519</v>
      </c>
      <c r="C306" s="165"/>
      <c r="D306" s="165"/>
      <c r="E306" s="165"/>
      <c r="F306" s="165"/>
      <c r="G306" s="165"/>
      <c r="H306" s="165"/>
      <c r="I306" s="165"/>
      <c r="J306" s="165"/>
      <c r="K306" s="165"/>
      <c r="L306" s="165"/>
      <c r="M306" s="165"/>
      <c r="N306" s="165"/>
      <c r="O306" s="165"/>
      <c r="P306" s="165"/>
      <c r="Q306" s="165"/>
      <c r="R306" s="165"/>
      <c r="S306" s="165"/>
      <c r="T306" s="165"/>
      <c r="U306" s="165"/>
      <c r="V306" s="4"/>
      <c r="W306" s="4"/>
      <c r="X306" s="4"/>
    </row>
    <row r="307" spans="2:28" ht="37.5" customHeight="1" x14ac:dyDescent="0.3">
      <c r="B307" s="166" t="s">
        <v>338</v>
      </c>
      <c r="C307" s="167"/>
      <c r="D307" s="167"/>
      <c r="E307" s="167"/>
      <c r="F307" s="167"/>
      <c r="G307" s="167"/>
      <c r="H307" s="167"/>
      <c r="I307" s="167"/>
      <c r="J307" s="167"/>
      <c r="K307" s="167"/>
      <c r="L307" s="167"/>
      <c r="M307" s="167"/>
      <c r="N307" s="167"/>
      <c r="O307" s="167"/>
      <c r="P307" s="167"/>
      <c r="Q307" s="167"/>
      <c r="R307" s="167"/>
      <c r="S307" s="167"/>
      <c r="T307" s="167"/>
      <c r="U307" s="167"/>
      <c r="V307" s="147"/>
      <c r="W307" s="147"/>
      <c r="X307" s="147"/>
      <c r="Y307" s="30"/>
      <c r="Z307" s="30"/>
    </row>
    <row r="308" spans="2:28" ht="12.75" customHeight="1" x14ac:dyDescent="0.3">
      <c r="B308" s="162"/>
      <c r="C308" s="168"/>
      <c r="D308" s="161"/>
      <c r="E308" s="161"/>
      <c r="F308" s="222" t="s">
        <v>220</v>
      </c>
      <c r="G308" s="223"/>
      <c r="H308" s="224"/>
      <c r="I308" s="222" t="s">
        <v>663</v>
      </c>
      <c r="J308" s="225"/>
      <c r="K308" s="226"/>
      <c r="L308" s="222" t="s">
        <v>532</v>
      </c>
      <c r="M308" s="225"/>
      <c r="N308" s="226"/>
      <c r="O308" s="222" t="s">
        <v>526</v>
      </c>
      <c r="P308" s="225"/>
      <c r="Q308" s="226"/>
      <c r="R308" s="413" t="s">
        <v>527</v>
      </c>
      <c r="S308" s="226"/>
      <c r="T308" s="225"/>
      <c r="U308" s="161" t="s">
        <v>213</v>
      </c>
      <c r="V308" s="4"/>
      <c r="W308" s="4"/>
      <c r="X308" s="4"/>
      <c r="Y308" s="30"/>
      <c r="Z308" s="30"/>
    </row>
    <row r="309" spans="2:28" ht="12.75" customHeight="1" x14ac:dyDescent="0.3">
      <c r="B309" s="159" t="s">
        <v>0</v>
      </c>
      <c r="C309" s="170" t="s">
        <v>166</v>
      </c>
      <c r="D309" s="160" t="s">
        <v>2</v>
      </c>
      <c r="E309" s="160" t="s">
        <v>3</v>
      </c>
      <c r="F309" s="217" t="s">
        <v>523</v>
      </c>
      <c r="G309" s="218"/>
      <c r="H309" s="219"/>
      <c r="I309" s="217" t="s">
        <v>525</v>
      </c>
      <c r="J309" s="220"/>
      <c r="K309" s="221"/>
      <c r="L309" s="217" t="s">
        <v>664</v>
      </c>
      <c r="M309" s="220"/>
      <c r="N309" s="221"/>
      <c r="O309" s="217" t="s">
        <v>529</v>
      </c>
      <c r="P309" s="220"/>
      <c r="Q309" s="221"/>
      <c r="R309" s="414" t="s">
        <v>528</v>
      </c>
      <c r="S309" s="255"/>
      <c r="T309" s="427"/>
      <c r="U309" s="160" t="s">
        <v>9</v>
      </c>
      <c r="V309" s="147"/>
      <c r="W309" s="147"/>
      <c r="X309" s="147"/>
      <c r="Y309" s="519" t="s">
        <v>223</v>
      </c>
      <c r="Z309" s="521" t="s">
        <v>4</v>
      </c>
    </row>
    <row r="310" spans="2:28" ht="12.75" customHeight="1" x14ac:dyDescent="0.3">
      <c r="B310" s="163"/>
      <c r="C310" s="169"/>
      <c r="D310" s="157"/>
      <c r="E310" s="157"/>
      <c r="F310" s="131" t="s">
        <v>33</v>
      </c>
      <c r="G310" s="131" t="s">
        <v>34</v>
      </c>
      <c r="H310" s="132" t="s">
        <v>35</v>
      </c>
      <c r="I310" s="131" t="s">
        <v>33</v>
      </c>
      <c r="J310" s="131" t="s">
        <v>34</v>
      </c>
      <c r="K310" s="132" t="s">
        <v>35</v>
      </c>
      <c r="L310" s="131" t="s">
        <v>33</v>
      </c>
      <c r="M310" s="131" t="s">
        <v>34</v>
      </c>
      <c r="N310" s="132" t="s">
        <v>35</v>
      </c>
      <c r="O310" s="131" t="s">
        <v>33</v>
      </c>
      <c r="P310" s="131" t="s">
        <v>34</v>
      </c>
      <c r="Q310" s="132" t="s">
        <v>35</v>
      </c>
      <c r="R310" s="131" t="s">
        <v>33</v>
      </c>
      <c r="S310" s="131" t="s">
        <v>34</v>
      </c>
      <c r="T310" s="132" t="s">
        <v>35</v>
      </c>
      <c r="U310" s="157"/>
      <c r="V310" s="4"/>
      <c r="W310" s="4"/>
      <c r="X310" s="4"/>
      <c r="Y310" s="520"/>
      <c r="Z310" s="522"/>
    </row>
    <row r="311" spans="2:28" ht="12.75" customHeight="1" x14ac:dyDescent="0.3">
      <c r="B311" s="133">
        <v>1</v>
      </c>
      <c r="C311" s="142" t="s">
        <v>648</v>
      </c>
      <c r="D311" s="227">
        <v>8</v>
      </c>
      <c r="E311" s="227"/>
      <c r="F311" s="135">
        <f>IFERROR(VLOOKUP(C311,'01_RS ALCARRIA'!$F$58:$R$61,13,FALSE),"")</f>
        <v>25</v>
      </c>
      <c r="G311" s="284">
        <f>IFERROR(VLOOKUP(C311,'01_RS ALCARRIA'!$F$58:$T$61,15,FALSE),"")/2</f>
        <v>5</v>
      </c>
      <c r="H311" s="138">
        <f>(F311+G311)*2</f>
        <v>60</v>
      </c>
      <c r="I311" s="135">
        <f>IFERROR(VLOOKUP(C311,'02_TCT GUADAMUR'!$F$58:$R$61,13,FALSE),"")</f>
        <v>25</v>
      </c>
      <c r="J311" s="284">
        <f>IFERROR(VLOOKUP(C311,'02_TCT GUADAMUR'!$F$58:$T$61,15,FALSE),"")/2</f>
        <v>5</v>
      </c>
      <c r="K311" s="138">
        <f>(I311+J311)</f>
        <v>30</v>
      </c>
      <c r="L311" s="135"/>
      <c r="M311" s="135"/>
      <c r="N311" s="135"/>
      <c r="O311" s="135"/>
      <c r="P311" s="135"/>
      <c r="Q311" s="135"/>
      <c r="R311" s="135"/>
      <c r="S311" s="135"/>
      <c r="T311" s="135"/>
      <c r="U311" s="139">
        <f>E311+H311+K311+N311+Q311+T311</f>
        <v>90</v>
      </c>
      <c r="V311" s="147"/>
      <c r="W311" s="147"/>
      <c r="X311" s="147"/>
      <c r="Y311" s="140" t="str">
        <f>IF(Z311&gt;=3,"Sí","No")</f>
        <v>No</v>
      </c>
      <c r="Z311" s="141">
        <f>COUNTA(H311,K311,N311,Q311,T311,W311)</f>
        <v>2</v>
      </c>
    </row>
    <row r="312" spans="2:28" ht="13" x14ac:dyDescent="0.3">
      <c r="B312" s="133">
        <v>2</v>
      </c>
      <c r="C312" s="142" t="s">
        <v>650</v>
      </c>
      <c r="D312" s="227">
        <v>8</v>
      </c>
      <c r="E312" s="227"/>
      <c r="F312" s="135">
        <v>0</v>
      </c>
      <c r="G312" s="135">
        <v>0</v>
      </c>
      <c r="H312" s="138">
        <f t="shared" ref="H312" si="50">(F312+G312)*2</f>
        <v>0</v>
      </c>
      <c r="I312" s="135"/>
      <c r="J312" s="135"/>
      <c r="K312" s="138"/>
      <c r="L312" s="135"/>
      <c r="M312" s="135"/>
      <c r="N312" s="135"/>
      <c r="O312" s="135"/>
      <c r="P312" s="135"/>
      <c r="Q312" s="135"/>
      <c r="R312" s="135"/>
      <c r="S312" s="135"/>
      <c r="T312" s="135"/>
      <c r="U312" s="139">
        <f t="shared" ref="U312" si="51">E312+H312+K312+N312+Q312+T312</f>
        <v>0</v>
      </c>
      <c r="V312" s="147"/>
      <c r="W312" s="147"/>
      <c r="X312" s="147"/>
      <c r="Y312" s="140" t="str">
        <f>IF(Z312&gt;=3,"Sí","No")</f>
        <v>No</v>
      </c>
      <c r="Z312" s="141">
        <f t="shared" ref="Z312" si="52">COUNTA(H312,K312,N312,Q312,T312,W312)</f>
        <v>1</v>
      </c>
    </row>
    <row r="313" spans="2:28" ht="13" x14ac:dyDescent="0.3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149"/>
      <c r="Z313" s="127"/>
    </row>
    <row r="314" spans="2:28" ht="12.75" customHeight="1" x14ac:dyDescent="0.3">
      <c r="B314" s="1"/>
      <c r="C314" s="235"/>
      <c r="D314" s="284"/>
      <c r="E314" s="285" t="s">
        <v>534</v>
      </c>
      <c r="F314" s="147"/>
      <c r="G314" s="147"/>
      <c r="H314" s="147"/>
      <c r="I314" s="147"/>
      <c r="J314" s="147"/>
      <c r="K314" s="147"/>
      <c r="L314" s="147"/>
      <c r="M314" s="147"/>
      <c r="N314" s="147"/>
      <c r="O314" s="147"/>
      <c r="P314" s="147"/>
      <c r="Q314" s="147"/>
      <c r="R314" s="147"/>
      <c r="S314" s="147"/>
      <c r="T314" s="147"/>
      <c r="U314" s="147"/>
      <c r="V314" s="147"/>
      <c r="W314" s="147"/>
      <c r="X314" s="147"/>
      <c r="Y314" s="147"/>
      <c r="Z314" s="147"/>
      <c r="AA314" s="148"/>
      <c r="AB314" s="262"/>
    </row>
    <row r="315" spans="2:28" ht="13" x14ac:dyDescent="0.3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149"/>
      <c r="Z315" s="127"/>
    </row>
    <row r="316" spans="2:28" ht="39" customHeight="1" x14ac:dyDescent="0.55000000000000004">
      <c r="B316" s="164" t="s">
        <v>519</v>
      </c>
      <c r="C316" s="165"/>
      <c r="D316" s="165"/>
      <c r="E316" s="165"/>
      <c r="F316" s="165"/>
      <c r="G316" s="165"/>
      <c r="H316" s="165"/>
      <c r="I316" s="165"/>
      <c r="J316" s="165"/>
      <c r="K316" s="165"/>
      <c r="L316" s="165"/>
      <c r="M316" s="165"/>
      <c r="N316" s="165"/>
      <c r="O316" s="165"/>
      <c r="P316" s="165"/>
      <c r="Q316" s="165"/>
      <c r="R316" s="165"/>
      <c r="S316" s="165"/>
      <c r="T316" s="165"/>
      <c r="U316" s="165"/>
      <c r="V316" s="4"/>
      <c r="W316" s="4"/>
      <c r="X316" s="4"/>
    </row>
    <row r="317" spans="2:28" ht="37.5" customHeight="1" x14ac:dyDescent="0.3">
      <c r="B317" s="166" t="s">
        <v>344</v>
      </c>
      <c r="C317" s="167"/>
      <c r="D317" s="167"/>
      <c r="E317" s="167"/>
      <c r="F317" s="167"/>
      <c r="G317" s="167"/>
      <c r="H317" s="167"/>
      <c r="I317" s="167"/>
      <c r="J317" s="167"/>
      <c r="K317" s="167"/>
      <c r="L317" s="167"/>
      <c r="M317" s="167"/>
      <c r="N317" s="167"/>
      <c r="O317" s="167"/>
      <c r="P317" s="167"/>
      <c r="Q317" s="167"/>
      <c r="R317" s="167"/>
      <c r="S317" s="167"/>
      <c r="T317" s="167"/>
      <c r="U317" s="167"/>
      <c r="V317" s="147"/>
      <c r="W317" s="147"/>
      <c r="X317" s="147"/>
      <c r="Y317" s="30"/>
      <c r="Z317" s="30"/>
    </row>
    <row r="318" spans="2:28" ht="12.75" customHeight="1" x14ac:dyDescent="0.3">
      <c r="B318" s="162"/>
      <c r="C318" s="168"/>
      <c r="D318" s="161"/>
      <c r="E318" s="161"/>
      <c r="F318" s="222" t="s">
        <v>220</v>
      </c>
      <c r="G318" s="223"/>
      <c r="H318" s="224"/>
      <c r="I318" s="222" t="s">
        <v>663</v>
      </c>
      <c r="J318" s="225"/>
      <c r="K318" s="226"/>
      <c r="L318" s="222" t="s">
        <v>532</v>
      </c>
      <c r="M318" s="225"/>
      <c r="N318" s="226"/>
      <c r="O318" s="222" t="s">
        <v>526</v>
      </c>
      <c r="P318" s="225"/>
      <c r="Q318" s="226"/>
      <c r="R318" s="413" t="s">
        <v>527</v>
      </c>
      <c r="S318" s="226"/>
      <c r="T318" s="225"/>
      <c r="U318" s="161" t="s">
        <v>213</v>
      </c>
      <c r="V318" s="4"/>
      <c r="W318" s="4"/>
      <c r="X318" s="4"/>
      <c r="Y318" s="30"/>
      <c r="Z318" s="30"/>
    </row>
    <row r="319" spans="2:28" ht="12.75" customHeight="1" x14ac:dyDescent="0.3">
      <c r="B319" s="159" t="s">
        <v>0</v>
      </c>
      <c r="C319" s="170" t="s">
        <v>345</v>
      </c>
      <c r="D319" s="160" t="s">
        <v>2</v>
      </c>
      <c r="E319" s="160" t="s">
        <v>3</v>
      </c>
      <c r="F319" s="217" t="s">
        <v>523</v>
      </c>
      <c r="G319" s="218"/>
      <c r="H319" s="219"/>
      <c r="I319" s="217" t="s">
        <v>525</v>
      </c>
      <c r="J319" s="220"/>
      <c r="K319" s="221"/>
      <c r="L319" s="217" t="s">
        <v>664</v>
      </c>
      <c r="M319" s="220"/>
      <c r="N319" s="221"/>
      <c r="O319" s="217" t="s">
        <v>529</v>
      </c>
      <c r="P319" s="220"/>
      <c r="Q319" s="221"/>
      <c r="R319" s="414" t="s">
        <v>528</v>
      </c>
      <c r="S319" s="255"/>
      <c r="T319" s="427"/>
      <c r="U319" s="160" t="s">
        <v>9</v>
      </c>
      <c r="V319" s="147"/>
      <c r="W319" s="147"/>
      <c r="X319" s="147"/>
      <c r="Y319" s="519" t="s">
        <v>223</v>
      </c>
      <c r="Z319" s="521" t="s">
        <v>4</v>
      </c>
    </row>
    <row r="320" spans="2:28" ht="12.75" customHeight="1" x14ac:dyDescent="0.3">
      <c r="B320" s="163"/>
      <c r="C320" s="169"/>
      <c r="D320" s="157"/>
      <c r="E320" s="157"/>
      <c r="F320" s="131" t="s">
        <v>33</v>
      </c>
      <c r="G320" s="131" t="s">
        <v>34</v>
      </c>
      <c r="H320" s="132" t="s">
        <v>35</v>
      </c>
      <c r="I320" s="131" t="s">
        <v>33</v>
      </c>
      <c r="J320" s="131" t="s">
        <v>34</v>
      </c>
      <c r="K320" s="132" t="s">
        <v>35</v>
      </c>
      <c r="L320" s="131" t="s">
        <v>33</v>
      </c>
      <c r="M320" s="131" t="s">
        <v>34</v>
      </c>
      <c r="N320" s="132" t="s">
        <v>35</v>
      </c>
      <c r="O320" s="131" t="s">
        <v>33</v>
      </c>
      <c r="P320" s="131" t="s">
        <v>34</v>
      </c>
      <c r="Q320" s="132" t="s">
        <v>35</v>
      </c>
      <c r="R320" s="131" t="s">
        <v>33</v>
      </c>
      <c r="S320" s="131" t="s">
        <v>34</v>
      </c>
      <c r="T320" s="132" t="s">
        <v>35</v>
      </c>
      <c r="U320" s="157"/>
      <c r="V320" s="147"/>
      <c r="W320" s="147"/>
      <c r="X320" s="147"/>
      <c r="Y320" s="520"/>
      <c r="Z320" s="522"/>
    </row>
    <row r="321" spans="2:39" ht="12.75" customHeight="1" x14ac:dyDescent="0.3">
      <c r="B321" s="133">
        <v>1</v>
      </c>
      <c r="C321" s="142" t="s">
        <v>651</v>
      </c>
      <c r="D321" s="227">
        <v>8</v>
      </c>
      <c r="E321" s="227"/>
      <c r="F321" s="135">
        <f>IFERROR(VLOOKUP(C321,'01_RS ALCARRIA'!$D$65:$K$67,8, FALSE), " ")</f>
        <v>25</v>
      </c>
      <c r="G321" s="284">
        <f>IFERROR(VLOOKUP(C321,'01_RS ALCARRIA'!$D$65:$M$67,10, FALSE), " ")/2</f>
        <v>5</v>
      </c>
      <c r="H321" s="138">
        <f>(F321+G321)*2</f>
        <v>60</v>
      </c>
      <c r="I321" s="135">
        <f>IFERROR(VLOOKUP(C321,'02_TCT GUADAMUR'!$D$65:$K$67,8, FALSE), " ")</f>
        <v>25</v>
      </c>
      <c r="J321" s="284">
        <f>IFERROR(VLOOKUP(C321,'02_TCT GUADAMUR'!$D$65:$M$67,10, FALSE), " ")/2</f>
        <v>5</v>
      </c>
      <c r="K321" s="138">
        <f>(I321+J321)</f>
        <v>30</v>
      </c>
      <c r="L321" s="135"/>
      <c r="M321" s="135"/>
      <c r="N321" s="135"/>
      <c r="O321" s="135"/>
      <c r="P321" s="135"/>
      <c r="Q321" s="135"/>
      <c r="R321" s="135"/>
      <c r="S321" s="135"/>
      <c r="T321" s="135"/>
      <c r="U321" s="139">
        <f>E321+H321+K321+N321+Q321+T321</f>
        <v>90</v>
      </c>
      <c r="V321" s="4"/>
      <c r="W321" s="4"/>
      <c r="X321" s="4"/>
      <c r="Y321" s="140" t="str">
        <f>IF(Z321&gt;=3,"Sí","No")</f>
        <v>No</v>
      </c>
      <c r="Z321" s="141">
        <f>COUNTA(H321,K321,N321,Q321,T321,W321)</f>
        <v>2</v>
      </c>
    </row>
    <row r="322" spans="2:39" ht="13" x14ac:dyDescent="0.3">
      <c r="B322" s="133">
        <v>2</v>
      </c>
      <c r="C322" s="142" t="s">
        <v>652</v>
      </c>
      <c r="D322" s="227">
        <v>8</v>
      </c>
      <c r="E322" s="227"/>
      <c r="F322" s="135">
        <v>0</v>
      </c>
      <c r="G322" s="135">
        <v>0</v>
      </c>
      <c r="H322" s="138">
        <f t="shared" ref="H322" si="53">(F322+G322)*2</f>
        <v>0</v>
      </c>
      <c r="I322" s="135"/>
      <c r="J322" s="135"/>
      <c r="K322" s="138"/>
      <c r="L322" s="135"/>
      <c r="M322" s="135"/>
      <c r="N322" s="135"/>
      <c r="O322" s="135"/>
      <c r="P322" s="135"/>
      <c r="Q322" s="135"/>
      <c r="R322" s="135"/>
      <c r="S322" s="135"/>
      <c r="T322" s="135"/>
      <c r="U322" s="139">
        <f t="shared" ref="U322" si="54">E322+H322+K322+N322+Q322+T322</f>
        <v>0</v>
      </c>
      <c r="V322" s="147"/>
      <c r="W322" s="147"/>
      <c r="X322" s="147"/>
      <c r="Y322" s="140" t="str">
        <f>IF(Z322&gt;=3,"Sí","No")</f>
        <v>No</v>
      </c>
      <c r="Z322" s="141">
        <f t="shared" ref="Z322" si="55">COUNTA(H322,K322,N322,Q322,T322,W322)</f>
        <v>1</v>
      </c>
    </row>
    <row r="323" spans="2:39" ht="13" x14ac:dyDescent="0.3"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149"/>
      <c r="Z323" s="127"/>
    </row>
    <row r="324" spans="2:39" ht="12.75" customHeight="1" x14ac:dyDescent="0.3">
      <c r="B324" s="1"/>
      <c r="C324" s="235"/>
      <c r="D324" s="284"/>
      <c r="E324" s="285" t="s">
        <v>534</v>
      </c>
      <c r="F324" s="147"/>
      <c r="G324" s="147"/>
      <c r="H324" s="147"/>
      <c r="I324" s="147"/>
      <c r="J324" s="147"/>
      <c r="K324" s="147"/>
      <c r="L324" s="147"/>
      <c r="M324" s="147"/>
      <c r="N324" s="147"/>
      <c r="O324" s="147"/>
      <c r="P324" s="147"/>
      <c r="Q324" s="147"/>
      <c r="R324" s="147"/>
      <c r="S324" s="147"/>
      <c r="T324" s="147"/>
      <c r="U324" s="147"/>
      <c r="V324" s="147"/>
      <c r="W324" s="147"/>
      <c r="X324" s="147"/>
      <c r="Y324" s="147"/>
      <c r="Z324" s="147"/>
      <c r="AA324" s="148"/>
      <c r="AB324" s="262"/>
    </row>
    <row r="325" spans="2:39" ht="13" x14ac:dyDescent="0.3">
      <c r="B325" s="4"/>
      <c r="C325" s="236"/>
      <c r="D325" s="155"/>
      <c r="E325" s="155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149"/>
      <c r="Z325" s="127"/>
    </row>
    <row r="326" spans="2:39" s="261" customFormat="1" ht="39" customHeight="1" x14ac:dyDescent="0.55000000000000004">
      <c r="B326" s="527" t="s">
        <v>520</v>
      </c>
      <c r="C326" s="527"/>
      <c r="D326" s="527"/>
      <c r="E326" s="527"/>
      <c r="F326" s="527"/>
      <c r="G326" s="527"/>
      <c r="H326" s="527"/>
      <c r="I326" s="527"/>
      <c r="J326" s="527"/>
      <c r="K326" s="527"/>
      <c r="L326" s="527"/>
      <c r="M326" s="527"/>
      <c r="N326" s="527"/>
      <c r="O326" s="527"/>
      <c r="P326" s="527"/>
      <c r="Q326" s="527"/>
      <c r="R326" s="527"/>
      <c r="S326" s="527"/>
      <c r="T326" s="527"/>
      <c r="U326" s="527"/>
      <c r="V326" s="527"/>
      <c r="W326" s="4"/>
      <c r="X326" s="4"/>
      <c r="Y326" s="130"/>
      <c r="Z326" s="130"/>
      <c r="AA326" s="130"/>
      <c r="AC326" s="130"/>
      <c r="AD326" s="130"/>
      <c r="AE326" s="130"/>
      <c r="AF326" s="130"/>
      <c r="AG326" s="130"/>
      <c r="AH326" s="130"/>
      <c r="AI326" s="130"/>
      <c r="AJ326" s="130"/>
      <c r="AK326" s="130"/>
      <c r="AL326" s="130"/>
      <c r="AM326" s="130"/>
    </row>
    <row r="327" spans="2:39" s="261" customFormat="1" ht="37.5" customHeight="1" x14ac:dyDescent="0.3">
      <c r="B327" s="523" t="s">
        <v>224</v>
      </c>
      <c r="C327" s="523"/>
      <c r="D327" s="523"/>
      <c r="E327" s="523"/>
      <c r="F327" s="523"/>
      <c r="G327" s="523"/>
      <c r="H327" s="523"/>
      <c r="I327" s="523"/>
      <c r="J327" s="523"/>
      <c r="K327" s="523"/>
      <c r="L327" s="523"/>
      <c r="M327" s="523"/>
      <c r="N327" s="523"/>
      <c r="O327" s="523"/>
      <c r="P327" s="523"/>
      <c r="Q327" s="523"/>
      <c r="R327" s="523"/>
      <c r="S327" s="523"/>
      <c r="T327" s="523"/>
      <c r="U327" s="523"/>
      <c r="V327" s="523"/>
      <c r="W327" s="4"/>
      <c r="X327" s="4"/>
      <c r="Y327" s="30"/>
      <c r="Z327" s="30"/>
      <c r="AA327" s="130"/>
      <c r="AC327" s="130"/>
      <c r="AD327" s="130"/>
      <c r="AE327" s="130"/>
      <c r="AF327" s="130"/>
      <c r="AG327" s="130"/>
      <c r="AH327" s="130"/>
      <c r="AI327" s="130"/>
      <c r="AJ327" s="130"/>
      <c r="AK327" s="130"/>
      <c r="AL327" s="130"/>
      <c r="AM327" s="130"/>
    </row>
    <row r="328" spans="2:39" s="261" customFormat="1" ht="12.75" customHeight="1" x14ac:dyDescent="0.3">
      <c r="B328" s="430"/>
      <c r="C328" s="416"/>
      <c r="D328" s="422"/>
      <c r="E328" s="224"/>
      <c r="F328" s="424"/>
      <c r="G328" s="422"/>
      <c r="H328" s="226"/>
      <c r="I328" s="426"/>
      <c r="J328" s="422"/>
      <c r="K328" s="226"/>
      <c r="L328" s="426"/>
      <c r="M328" s="422"/>
      <c r="N328" s="226"/>
      <c r="O328" s="426"/>
      <c r="P328" s="422"/>
      <c r="Q328" s="226"/>
      <c r="R328" s="426"/>
      <c r="S328" s="428" t="s">
        <v>213</v>
      </c>
      <c r="T328" s="422"/>
      <c r="U328" s="426"/>
      <c r="V328" s="428" t="s">
        <v>213</v>
      </c>
      <c r="W328" s="413"/>
      <c r="X328" s="431" t="s">
        <v>213</v>
      </c>
      <c r="Y328" s="30"/>
      <c r="Z328" s="30"/>
      <c r="AA328" s="130"/>
      <c r="AC328" s="130"/>
      <c r="AD328" s="130"/>
      <c r="AE328" s="130"/>
      <c r="AF328" s="130"/>
      <c r="AG328" s="130"/>
      <c r="AH328" s="130"/>
      <c r="AI328" s="130"/>
      <c r="AJ328" s="130"/>
      <c r="AK328" s="130"/>
      <c r="AL328" s="130"/>
      <c r="AM328" s="130"/>
    </row>
    <row r="329" spans="2:39" s="261" customFormat="1" ht="12.75" customHeight="1" x14ac:dyDescent="0.3">
      <c r="B329" s="159" t="s">
        <v>0</v>
      </c>
      <c r="C329" s="524" t="s">
        <v>1</v>
      </c>
      <c r="D329" s="525"/>
      <c r="E329" s="526"/>
      <c r="F329" s="421" t="s">
        <v>531</v>
      </c>
      <c r="G329" s="421"/>
      <c r="H329" s="260"/>
      <c r="I329" s="258" t="s">
        <v>524</v>
      </c>
      <c r="J329" s="421"/>
      <c r="K329" s="260"/>
      <c r="L329" s="258" t="s">
        <v>532</v>
      </c>
      <c r="M329" s="421"/>
      <c r="N329" s="260"/>
      <c r="O329" s="258" t="s">
        <v>526</v>
      </c>
      <c r="P329" s="421"/>
      <c r="Q329" s="260"/>
      <c r="R329" s="258" t="s">
        <v>287</v>
      </c>
      <c r="S329" s="421"/>
      <c r="T329" s="259"/>
      <c r="U329" s="258" t="s">
        <v>527</v>
      </c>
      <c r="V329" s="421"/>
      <c r="W329" s="260"/>
      <c r="X329" s="432" t="s">
        <v>9</v>
      </c>
      <c r="Y329" s="519" t="s">
        <v>223</v>
      </c>
      <c r="Z329" s="521" t="s">
        <v>4</v>
      </c>
      <c r="AA329" s="130"/>
      <c r="AC329" s="130"/>
      <c r="AD329" s="130"/>
      <c r="AE329" s="130"/>
      <c r="AF329" s="130"/>
      <c r="AG329" s="130"/>
      <c r="AH329" s="130"/>
      <c r="AI329" s="130"/>
      <c r="AJ329" s="130"/>
      <c r="AK329" s="130"/>
      <c r="AL329" s="130"/>
      <c r="AM329" s="130"/>
    </row>
    <row r="330" spans="2:39" s="261" customFormat="1" ht="12.75" customHeight="1" x14ac:dyDescent="0.3">
      <c r="B330" s="163"/>
      <c r="C330" s="417"/>
      <c r="D330" s="423"/>
      <c r="E330" s="219"/>
      <c r="F330" s="425"/>
      <c r="G330" s="423"/>
      <c r="H330" s="221"/>
      <c r="I330" s="427"/>
      <c r="J330" s="423"/>
      <c r="K330" s="221"/>
      <c r="L330" s="427"/>
      <c r="M330" s="423"/>
      <c r="N330" s="221"/>
      <c r="O330" s="427"/>
      <c r="P330" s="423"/>
      <c r="Q330" s="221"/>
      <c r="R330" s="427"/>
      <c r="S330" s="429"/>
      <c r="T330" s="423"/>
      <c r="U330" s="433"/>
      <c r="V330" s="434" t="s">
        <v>213</v>
      </c>
      <c r="W330" s="435"/>
      <c r="X330" s="256"/>
      <c r="Y330" s="520"/>
      <c r="Z330" s="522"/>
      <c r="AA330" s="130"/>
      <c r="AC330" s="130"/>
      <c r="AD330" s="130"/>
      <c r="AE330" s="130"/>
      <c r="AF330" s="130"/>
      <c r="AG330" s="130"/>
      <c r="AH330" s="130"/>
      <c r="AI330" s="130"/>
      <c r="AJ330" s="130"/>
      <c r="AK330" s="130"/>
      <c r="AL330" s="130"/>
      <c r="AM330" s="130"/>
    </row>
    <row r="331" spans="2:39" s="261" customFormat="1" ht="12.75" customHeight="1" x14ac:dyDescent="0.3">
      <c r="B331" s="133">
        <v>1</v>
      </c>
      <c r="C331" s="516" t="s">
        <v>332</v>
      </c>
      <c r="D331" s="517"/>
      <c r="E331" s="518"/>
      <c r="F331" s="142"/>
      <c r="G331" s="135">
        <f>8*2</f>
        <v>16</v>
      </c>
      <c r="H331" s="142"/>
      <c r="I331" s="142"/>
      <c r="J331" s="135">
        <v>8</v>
      </c>
      <c r="K331" s="142"/>
      <c r="L331" s="142"/>
      <c r="M331" s="135">
        <v>8</v>
      </c>
      <c r="N331" s="142"/>
      <c r="O331" s="142"/>
      <c r="P331" s="284"/>
      <c r="Q331" s="142"/>
      <c r="R331" s="142"/>
      <c r="S331" s="284"/>
      <c r="T331" s="142"/>
      <c r="U331" s="142"/>
      <c r="V331" s="284"/>
      <c r="W331" s="462"/>
      <c r="X331" s="420">
        <f>G331+J331+M331+P331+S331+V331</f>
        <v>32</v>
      </c>
      <c r="Y331" s="140" t="str">
        <f>IF(Z331&gt;=3,"Sí","No")</f>
        <v>Sí</v>
      </c>
      <c r="Z331" s="141">
        <f>COUNTA(G331,J331,M331,P331,S331,V331)</f>
        <v>3</v>
      </c>
      <c r="AA331" s="130" t="s">
        <v>552</v>
      </c>
      <c r="AC331" s="130"/>
      <c r="AD331" s="130"/>
      <c r="AE331" s="130"/>
      <c r="AF331" s="130"/>
      <c r="AG331" s="130"/>
      <c r="AH331" s="130"/>
      <c r="AI331" s="130"/>
      <c r="AJ331" s="130"/>
      <c r="AK331" s="130"/>
      <c r="AL331" s="130"/>
      <c r="AM331" s="130"/>
    </row>
    <row r="332" spans="2:39" s="261" customFormat="1" x14ac:dyDescent="0.3">
      <c r="B332" s="264"/>
      <c r="C332" s="265"/>
      <c r="D332" s="265"/>
      <c r="E332" s="265"/>
      <c r="F332" s="265"/>
      <c r="G332" s="265"/>
      <c r="H332" s="265"/>
      <c r="I332" s="265"/>
      <c r="J332" s="265"/>
      <c r="K332" s="265"/>
      <c r="L332" s="265"/>
      <c r="M332" s="265"/>
      <c r="N332" s="265"/>
      <c r="O332" s="265"/>
      <c r="P332" s="265"/>
      <c r="Q332" s="265"/>
      <c r="R332" s="265"/>
      <c r="S332" s="265"/>
      <c r="T332" s="4"/>
      <c r="U332" s="4"/>
      <c r="V332" s="4"/>
      <c r="W332" s="4"/>
      <c r="X332" s="4"/>
      <c r="Y332" s="130"/>
      <c r="Z332" s="130"/>
      <c r="AA332" s="130"/>
      <c r="AC332" s="130"/>
      <c r="AD332" s="130"/>
      <c r="AE332" s="130"/>
      <c r="AF332" s="130"/>
      <c r="AG332" s="130"/>
      <c r="AH332" s="130"/>
      <c r="AI332" s="130"/>
      <c r="AJ332" s="130"/>
      <c r="AK332" s="130"/>
      <c r="AL332" s="130"/>
      <c r="AM332" s="130"/>
    </row>
    <row r="333" spans="2:39" s="261" customFormat="1" ht="12" x14ac:dyDescent="0.3">
      <c r="B333" s="4"/>
      <c r="C333" s="4"/>
      <c r="D333" s="284"/>
      <c r="E333" s="285" t="s">
        <v>551</v>
      </c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130"/>
      <c r="Z333" s="130"/>
      <c r="AA333" s="130"/>
      <c r="AC333" s="130"/>
      <c r="AD333" s="130"/>
      <c r="AE333" s="130"/>
      <c r="AF333" s="130"/>
      <c r="AG333" s="130"/>
      <c r="AH333" s="130"/>
      <c r="AI333" s="130"/>
      <c r="AJ333" s="130"/>
      <c r="AK333" s="130"/>
      <c r="AL333" s="130"/>
      <c r="AM333" s="130"/>
    </row>
    <row r="334" spans="2:39" s="261" customFormat="1" x14ac:dyDescent="0.3"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130"/>
      <c r="Z334" s="130"/>
      <c r="AA334" s="130"/>
      <c r="AC334" s="130"/>
      <c r="AD334" s="130"/>
      <c r="AE334" s="130"/>
      <c r="AF334" s="130"/>
      <c r="AG334" s="130"/>
      <c r="AH334" s="130"/>
      <c r="AI334" s="130"/>
      <c r="AJ334" s="130"/>
      <c r="AK334" s="130"/>
      <c r="AL334" s="130"/>
      <c r="AM334" s="130"/>
    </row>
    <row r="335" spans="2:39" s="261" customFormat="1" x14ac:dyDescent="0.3"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130"/>
      <c r="Z335" s="130"/>
      <c r="AA335" s="130"/>
      <c r="AC335" s="130"/>
      <c r="AD335" s="130"/>
      <c r="AE335" s="130"/>
      <c r="AF335" s="130"/>
      <c r="AG335" s="130"/>
      <c r="AH335" s="130"/>
      <c r="AI335" s="130"/>
      <c r="AJ335" s="130"/>
      <c r="AK335" s="130"/>
      <c r="AL335" s="130"/>
      <c r="AM335" s="130"/>
    </row>
    <row r="336" spans="2:39" s="261" customFormat="1" ht="39" customHeight="1" x14ac:dyDescent="0.55000000000000004">
      <c r="B336" s="527" t="s">
        <v>661</v>
      </c>
      <c r="C336" s="527"/>
      <c r="D336" s="527"/>
      <c r="E336" s="527"/>
      <c r="F336" s="527"/>
      <c r="G336" s="527"/>
      <c r="H336" s="527"/>
      <c r="I336" s="527"/>
      <c r="J336" s="527"/>
      <c r="K336" s="527"/>
      <c r="L336" s="527"/>
      <c r="M336" s="527"/>
      <c r="N336" s="527"/>
      <c r="O336" s="527"/>
      <c r="P336" s="527"/>
      <c r="Q336" s="527"/>
      <c r="R336" s="527"/>
      <c r="S336" s="527"/>
      <c r="T336" s="527"/>
      <c r="U336" s="527"/>
      <c r="V336" s="527"/>
      <c r="W336" s="4"/>
      <c r="X336" s="4"/>
      <c r="Y336" s="130"/>
      <c r="Z336" s="130"/>
      <c r="AA336" s="130"/>
      <c r="AC336" s="130"/>
      <c r="AD336" s="130"/>
      <c r="AE336" s="130"/>
      <c r="AF336" s="130"/>
      <c r="AG336" s="130"/>
      <c r="AH336" s="130"/>
      <c r="AI336" s="130"/>
      <c r="AJ336" s="130"/>
      <c r="AK336" s="130"/>
      <c r="AL336" s="130"/>
      <c r="AM336" s="130"/>
    </row>
    <row r="337" spans="2:39" s="261" customFormat="1" ht="37.5" customHeight="1" x14ac:dyDescent="0.3">
      <c r="B337" s="523" t="s">
        <v>338</v>
      </c>
      <c r="C337" s="523"/>
      <c r="D337" s="523"/>
      <c r="E337" s="523"/>
      <c r="F337" s="523"/>
      <c r="G337" s="523"/>
      <c r="H337" s="523"/>
      <c r="I337" s="523"/>
      <c r="J337" s="523"/>
      <c r="K337" s="523"/>
      <c r="L337" s="523"/>
      <c r="M337" s="523"/>
      <c r="N337" s="523"/>
      <c r="O337" s="523"/>
      <c r="P337" s="523"/>
      <c r="Q337" s="523"/>
      <c r="R337" s="523"/>
      <c r="S337" s="523"/>
      <c r="T337" s="523"/>
      <c r="U337" s="523"/>
      <c r="V337" s="523"/>
      <c r="W337" s="4"/>
      <c r="X337" s="4"/>
      <c r="Y337" s="30"/>
      <c r="Z337" s="30"/>
      <c r="AA337" s="130"/>
      <c r="AC337" s="130"/>
      <c r="AD337" s="130"/>
      <c r="AE337" s="130"/>
      <c r="AF337" s="130"/>
      <c r="AG337" s="130"/>
      <c r="AH337" s="130"/>
      <c r="AI337" s="130"/>
      <c r="AJ337" s="130"/>
      <c r="AK337" s="130"/>
      <c r="AL337" s="130"/>
      <c r="AM337" s="130"/>
    </row>
    <row r="338" spans="2:39" s="261" customFormat="1" ht="12.75" customHeight="1" x14ac:dyDescent="0.3">
      <c r="B338" s="430"/>
      <c r="C338" s="416"/>
      <c r="D338" s="422"/>
      <c r="E338" s="224"/>
      <c r="F338" s="424"/>
      <c r="G338" s="422"/>
      <c r="H338" s="226"/>
      <c r="I338" s="426"/>
      <c r="J338" s="422"/>
      <c r="K338" s="226"/>
      <c r="L338" s="426"/>
      <c r="M338" s="422"/>
      <c r="N338" s="226"/>
      <c r="O338" s="426"/>
      <c r="P338" s="422"/>
      <c r="Q338" s="226"/>
      <c r="R338" s="426"/>
      <c r="S338" s="428" t="s">
        <v>213</v>
      </c>
      <c r="T338" s="422"/>
      <c r="U338" s="426"/>
      <c r="V338" s="428" t="s">
        <v>213</v>
      </c>
      <c r="W338" s="413"/>
      <c r="X338" s="431" t="s">
        <v>213</v>
      </c>
      <c r="Y338" s="30"/>
      <c r="Z338" s="30"/>
      <c r="AA338" s="130"/>
      <c r="AC338" s="130"/>
      <c r="AD338" s="130"/>
      <c r="AE338" s="130"/>
      <c r="AF338" s="130"/>
      <c r="AG338" s="130"/>
      <c r="AH338" s="130"/>
      <c r="AI338" s="130"/>
      <c r="AJ338" s="130"/>
      <c r="AK338" s="130"/>
      <c r="AL338" s="130"/>
      <c r="AM338" s="130"/>
    </row>
    <row r="339" spans="2:39" s="261" customFormat="1" ht="12.75" customHeight="1" x14ac:dyDescent="0.3">
      <c r="B339" s="159" t="s">
        <v>0</v>
      </c>
      <c r="C339" s="524" t="s">
        <v>1</v>
      </c>
      <c r="D339" s="525"/>
      <c r="E339" s="526"/>
      <c r="F339" s="421" t="s">
        <v>531</v>
      </c>
      <c r="G339" s="421"/>
      <c r="H339" s="260"/>
      <c r="I339" s="258" t="s">
        <v>524</v>
      </c>
      <c r="J339" s="421"/>
      <c r="K339" s="260"/>
      <c r="L339" s="258" t="s">
        <v>532</v>
      </c>
      <c r="M339" s="421"/>
      <c r="N339" s="260"/>
      <c r="O339" s="258" t="s">
        <v>526</v>
      </c>
      <c r="P339" s="421"/>
      <c r="Q339" s="260"/>
      <c r="R339" s="258" t="s">
        <v>287</v>
      </c>
      <c r="S339" s="421"/>
      <c r="T339" s="259"/>
      <c r="U339" s="258" t="s">
        <v>527</v>
      </c>
      <c r="V339" s="421"/>
      <c r="W339" s="260"/>
      <c r="X339" s="432" t="s">
        <v>9</v>
      </c>
      <c r="Y339" s="519" t="s">
        <v>223</v>
      </c>
      <c r="Z339" s="521" t="s">
        <v>4</v>
      </c>
      <c r="AA339" s="130"/>
      <c r="AC339" s="130"/>
      <c r="AD339" s="130"/>
      <c r="AE339" s="130"/>
      <c r="AF339" s="130"/>
      <c r="AG339" s="130"/>
      <c r="AH339" s="130"/>
      <c r="AI339" s="130"/>
      <c r="AJ339" s="130"/>
      <c r="AK339" s="130"/>
      <c r="AL339" s="130"/>
      <c r="AM339" s="130"/>
    </row>
    <row r="340" spans="2:39" s="261" customFormat="1" ht="12.75" customHeight="1" x14ac:dyDescent="0.3">
      <c r="B340" s="163"/>
      <c r="C340" s="417"/>
      <c r="D340" s="423"/>
      <c r="E340" s="219"/>
      <c r="F340" s="425"/>
      <c r="G340" s="423"/>
      <c r="H340" s="221"/>
      <c r="I340" s="427"/>
      <c r="J340" s="423"/>
      <c r="K340" s="221"/>
      <c r="L340" s="427"/>
      <c r="M340" s="423"/>
      <c r="N340" s="221"/>
      <c r="O340" s="427"/>
      <c r="P340" s="423"/>
      <c r="Q340" s="221"/>
      <c r="R340" s="427"/>
      <c r="S340" s="429"/>
      <c r="T340" s="423"/>
      <c r="U340" s="433"/>
      <c r="V340" s="434" t="s">
        <v>213</v>
      </c>
      <c r="W340" s="435"/>
      <c r="X340" s="256"/>
      <c r="Y340" s="520"/>
      <c r="Z340" s="522"/>
      <c r="AA340" s="130"/>
      <c r="AC340" s="130"/>
      <c r="AD340" s="130"/>
      <c r="AE340" s="130"/>
      <c r="AF340" s="130"/>
      <c r="AG340" s="130"/>
      <c r="AH340" s="130"/>
      <c r="AI340" s="130"/>
      <c r="AJ340" s="130"/>
      <c r="AK340" s="130"/>
      <c r="AL340" s="130"/>
      <c r="AM340" s="130"/>
    </row>
    <row r="341" spans="2:39" s="261" customFormat="1" ht="12.75" customHeight="1" x14ac:dyDescent="0.3">
      <c r="B341" s="133">
        <v>1</v>
      </c>
      <c r="C341" s="516" t="s">
        <v>358</v>
      </c>
      <c r="D341" s="517"/>
      <c r="E341" s="518"/>
      <c r="F341" s="317"/>
      <c r="G341" s="498">
        <f>10*2</f>
        <v>20</v>
      </c>
      <c r="H341" s="419"/>
      <c r="I341" s="317"/>
      <c r="J341" s="498">
        <f>10</f>
        <v>10</v>
      </c>
      <c r="K341" s="419"/>
      <c r="L341" s="317"/>
      <c r="M341" s="498">
        <f>10</f>
        <v>10</v>
      </c>
      <c r="N341" s="419"/>
      <c r="O341" s="317"/>
      <c r="P341" s="418"/>
      <c r="Q341" s="419"/>
      <c r="R341" s="419"/>
      <c r="S341" s="418"/>
      <c r="T341" s="419"/>
      <c r="U341" s="419"/>
      <c r="V341" s="418"/>
      <c r="W341" s="462"/>
      <c r="X341" s="420">
        <f>G341+J341+M341+P341+S341+V341</f>
        <v>40</v>
      </c>
      <c r="Y341" s="140" t="str">
        <f>IF(Z341&gt;=3,"Sí","No")</f>
        <v>Sí</v>
      </c>
      <c r="Z341" s="141">
        <f>COUNTA(G341,J341,M341,P341,S341,V341)</f>
        <v>3</v>
      </c>
      <c r="AA341" s="130" t="s">
        <v>552</v>
      </c>
      <c r="AC341" s="130"/>
      <c r="AD341" s="130"/>
      <c r="AE341" s="130"/>
      <c r="AF341" s="130"/>
      <c r="AG341" s="130"/>
      <c r="AH341" s="130"/>
      <c r="AI341" s="130"/>
      <c r="AJ341" s="130"/>
      <c r="AK341" s="130"/>
      <c r="AL341" s="130"/>
      <c r="AM341" s="130"/>
    </row>
    <row r="342" spans="2:39" s="261" customFormat="1" x14ac:dyDescent="0.3">
      <c r="B342" s="264"/>
      <c r="C342" s="265"/>
      <c r="D342" s="265"/>
      <c r="E342" s="265"/>
      <c r="F342" s="265"/>
      <c r="G342" s="265"/>
      <c r="H342" s="265"/>
      <c r="I342" s="265"/>
      <c r="J342" s="265"/>
      <c r="K342" s="265"/>
      <c r="L342" s="265"/>
      <c r="M342" s="265"/>
      <c r="N342" s="265"/>
      <c r="O342" s="265"/>
      <c r="P342" s="265"/>
      <c r="Q342" s="265"/>
      <c r="R342" s="265"/>
      <c r="S342" s="265"/>
      <c r="T342" s="4"/>
      <c r="U342" s="4"/>
      <c r="V342" s="4"/>
      <c r="W342" s="4"/>
      <c r="X342" s="4"/>
      <c r="Y342" s="130"/>
      <c r="Z342" s="130"/>
      <c r="AA342" s="130"/>
      <c r="AC342" s="130"/>
      <c r="AD342" s="130"/>
      <c r="AE342" s="130"/>
      <c r="AF342" s="130"/>
      <c r="AG342" s="130"/>
      <c r="AH342" s="130"/>
      <c r="AI342" s="130"/>
      <c r="AJ342" s="130"/>
      <c r="AK342" s="130"/>
      <c r="AL342" s="130"/>
      <c r="AM342" s="130"/>
    </row>
    <row r="343" spans="2:39" s="261" customFormat="1" ht="12" x14ac:dyDescent="0.3">
      <c r="B343" s="4"/>
      <c r="C343" s="4"/>
      <c r="D343" s="284"/>
      <c r="E343" s="285" t="s">
        <v>551</v>
      </c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130"/>
      <c r="Z343" s="130"/>
      <c r="AA343" s="130"/>
      <c r="AC343" s="130"/>
      <c r="AD343" s="130"/>
      <c r="AE343" s="130"/>
      <c r="AF343" s="130"/>
      <c r="AG343" s="130"/>
      <c r="AH343" s="130"/>
      <c r="AI343" s="130"/>
      <c r="AJ343" s="130"/>
      <c r="AK343" s="130"/>
      <c r="AL343" s="130"/>
      <c r="AM343" s="130"/>
    </row>
    <row r="344" spans="2:39" s="261" customFormat="1" x14ac:dyDescent="0.3"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130"/>
      <c r="Z344" s="130"/>
      <c r="AA344" s="130"/>
      <c r="AC344" s="130"/>
      <c r="AD344" s="130"/>
      <c r="AE344" s="130"/>
      <c r="AF344" s="130"/>
      <c r="AG344" s="130"/>
      <c r="AH344" s="130"/>
      <c r="AI344" s="130"/>
      <c r="AJ344" s="130"/>
      <c r="AK344" s="130"/>
      <c r="AL344" s="130"/>
      <c r="AM344" s="130"/>
    </row>
    <row r="345" spans="2:39" s="261" customFormat="1" x14ac:dyDescent="0.3"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130"/>
      <c r="Z345" s="130"/>
      <c r="AA345" s="130"/>
      <c r="AC345" s="130"/>
      <c r="AD345" s="130"/>
      <c r="AE345" s="130"/>
      <c r="AF345" s="130"/>
      <c r="AG345" s="130"/>
      <c r="AH345" s="130"/>
      <c r="AI345" s="130"/>
      <c r="AJ345" s="130"/>
      <c r="AK345" s="130"/>
      <c r="AL345" s="130"/>
      <c r="AM345" s="130"/>
    </row>
    <row r="346" spans="2:39" ht="39" customHeight="1" x14ac:dyDescent="0.55000000000000004">
      <c r="B346" s="527" t="s">
        <v>522</v>
      </c>
      <c r="C346" s="527"/>
      <c r="D346" s="527"/>
      <c r="E346" s="527"/>
      <c r="F346" s="527"/>
      <c r="G346" s="527"/>
      <c r="H346" s="527"/>
      <c r="I346" s="527"/>
      <c r="J346" s="527"/>
      <c r="K346" s="527"/>
      <c r="L346" s="527"/>
      <c r="M346" s="527"/>
      <c r="N346" s="527"/>
      <c r="O346" s="527"/>
      <c r="P346" s="527"/>
      <c r="Q346" s="527"/>
      <c r="R346" s="527"/>
      <c r="S346" s="527"/>
      <c r="T346" s="527"/>
      <c r="U346" s="527"/>
      <c r="V346" s="527"/>
      <c r="W346" s="4"/>
      <c r="X346" s="4"/>
    </row>
    <row r="347" spans="2:39" ht="37.5" customHeight="1" x14ac:dyDescent="0.3">
      <c r="B347" s="523" t="s">
        <v>338</v>
      </c>
      <c r="C347" s="523"/>
      <c r="D347" s="523"/>
      <c r="E347" s="523"/>
      <c r="F347" s="523"/>
      <c r="G347" s="523"/>
      <c r="H347" s="523"/>
      <c r="I347" s="523"/>
      <c r="J347" s="523"/>
      <c r="K347" s="523"/>
      <c r="L347" s="523"/>
      <c r="M347" s="523"/>
      <c r="N347" s="523"/>
      <c r="O347" s="523"/>
      <c r="P347" s="523"/>
      <c r="Q347" s="523"/>
      <c r="R347" s="523"/>
      <c r="S347" s="523"/>
      <c r="T347" s="523"/>
      <c r="U347" s="523"/>
      <c r="V347" s="523"/>
      <c r="W347" s="4"/>
      <c r="X347" s="4"/>
      <c r="Y347" s="30"/>
      <c r="Z347" s="30"/>
    </row>
    <row r="348" spans="2:39" ht="12.75" customHeight="1" x14ac:dyDescent="0.3">
      <c r="B348" s="430"/>
      <c r="C348" s="416"/>
      <c r="D348" s="422"/>
      <c r="E348" s="224"/>
      <c r="F348" s="424"/>
      <c r="G348" s="422"/>
      <c r="H348" s="226"/>
      <c r="I348" s="426"/>
      <c r="J348" s="422"/>
      <c r="K348" s="226"/>
      <c r="L348" s="426"/>
      <c r="M348" s="422"/>
      <c r="N348" s="226"/>
      <c r="O348" s="426"/>
      <c r="P348" s="422"/>
      <c r="Q348" s="226"/>
      <c r="R348" s="426"/>
      <c r="S348" s="428" t="s">
        <v>213</v>
      </c>
      <c r="T348" s="422"/>
      <c r="U348" s="426"/>
      <c r="V348" s="428" t="s">
        <v>213</v>
      </c>
      <c r="W348" s="413"/>
      <c r="X348" s="431" t="s">
        <v>213</v>
      </c>
      <c r="Y348" s="30"/>
      <c r="Z348" s="30"/>
    </row>
    <row r="349" spans="2:39" ht="12.75" customHeight="1" x14ac:dyDescent="0.3">
      <c r="B349" s="159" t="s">
        <v>0</v>
      </c>
      <c r="C349" s="524" t="s">
        <v>166</v>
      </c>
      <c r="D349" s="525"/>
      <c r="E349" s="526"/>
      <c r="F349" s="421" t="s">
        <v>531</v>
      </c>
      <c r="G349" s="421"/>
      <c r="H349" s="260"/>
      <c r="I349" s="258" t="s">
        <v>524</v>
      </c>
      <c r="J349" s="421"/>
      <c r="K349" s="260"/>
      <c r="L349" s="258" t="s">
        <v>532</v>
      </c>
      <c r="M349" s="421"/>
      <c r="N349" s="260"/>
      <c r="O349" s="258" t="s">
        <v>526</v>
      </c>
      <c r="P349" s="421"/>
      <c r="Q349" s="260"/>
      <c r="R349" s="258" t="s">
        <v>287</v>
      </c>
      <c r="S349" s="421"/>
      <c r="T349" s="259"/>
      <c r="U349" s="258" t="s">
        <v>527</v>
      </c>
      <c r="V349" s="421"/>
      <c r="W349" s="260"/>
      <c r="X349" s="432" t="s">
        <v>9</v>
      </c>
      <c r="Y349" s="519" t="s">
        <v>223</v>
      </c>
      <c r="Z349" s="521" t="s">
        <v>4</v>
      </c>
    </row>
    <row r="350" spans="2:39" ht="12.75" customHeight="1" x14ac:dyDescent="0.3">
      <c r="B350" s="163"/>
      <c r="C350" s="417"/>
      <c r="D350" s="423"/>
      <c r="E350" s="219"/>
      <c r="F350" s="425"/>
      <c r="G350" s="423"/>
      <c r="H350" s="221"/>
      <c r="I350" s="427"/>
      <c r="J350" s="423"/>
      <c r="K350" s="221"/>
      <c r="L350" s="427"/>
      <c r="M350" s="423"/>
      <c r="N350" s="221"/>
      <c r="O350" s="427"/>
      <c r="P350" s="423"/>
      <c r="Q350" s="221"/>
      <c r="R350" s="427"/>
      <c r="S350" s="429"/>
      <c r="T350" s="423"/>
      <c r="U350" s="433"/>
      <c r="V350" s="434" t="s">
        <v>213</v>
      </c>
      <c r="W350" s="435"/>
      <c r="X350" s="256"/>
      <c r="Y350" s="520"/>
      <c r="Z350" s="522"/>
    </row>
    <row r="351" spans="2:39" ht="12.75" customHeight="1" x14ac:dyDescent="0.3">
      <c r="B351" s="133">
        <v>1</v>
      </c>
      <c r="C351" s="507" t="s">
        <v>358</v>
      </c>
      <c r="D351" s="496"/>
      <c r="E351" s="497"/>
      <c r="F351" s="142"/>
      <c r="G351" s="137">
        <f>IFERROR(VLOOKUP(C351,'01_RS ALCARRIA'!$F$6:$U$70,15, FALSE), " ")*2</f>
        <v>20</v>
      </c>
      <c r="H351" s="142"/>
      <c r="I351" s="142"/>
      <c r="J351" s="137">
        <f>IFERROR(VLOOKUP(C351,'02_TCT GUADAMUR'!$F$6:$U$70,15, FALSE), " ")</f>
        <v>10</v>
      </c>
      <c r="K351" s="142"/>
      <c r="L351" s="142"/>
      <c r="M351" s="137">
        <f>IFERROR(VLOOKUP(C351,'03_TCT MAQUEDA'!$F$6:$U$70,15, FALSE), " ")</f>
        <v>10</v>
      </c>
      <c r="N351" s="142"/>
      <c r="O351" s="137"/>
      <c r="P351" s="137"/>
      <c r="Q351" s="137"/>
      <c r="R351" s="137"/>
      <c r="S351" s="137"/>
      <c r="T351" s="137"/>
      <c r="U351" s="137"/>
      <c r="V351" s="137"/>
      <c r="W351" s="137"/>
      <c r="X351" s="420">
        <f t="shared" ref="X351:X361" si="56">G351+J351+M351+P351+S351+V351</f>
        <v>40</v>
      </c>
      <c r="Y351" s="140" t="str">
        <f t="shared" ref="Y351:Y361" si="57">IF(Z351&gt;=3,"Sí","No")</f>
        <v>Sí</v>
      </c>
      <c r="Z351" s="141">
        <f>COUNTA(G351,J351,M351,P351,S351,V351)</f>
        <v>3</v>
      </c>
    </row>
    <row r="352" spans="2:39" ht="13" x14ac:dyDescent="0.3">
      <c r="B352" s="133">
        <v>2</v>
      </c>
      <c r="C352" s="507" t="s">
        <v>360</v>
      </c>
      <c r="D352" s="496"/>
      <c r="E352" s="497"/>
      <c r="F352" s="142"/>
      <c r="G352" s="137">
        <f>IFERROR(VLOOKUP(C352,'01_RS ALCARRIA'!$F$6:$U$70,15, FALSE), " ")*2</f>
        <v>16</v>
      </c>
      <c r="H352" s="142"/>
      <c r="I352" s="142"/>
      <c r="J352" s="137">
        <f>IFERROR(VLOOKUP(C352,'02_TCT GUADAMUR'!$F$6:$U$70,15, FALSE), " ")</f>
        <v>8</v>
      </c>
      <c r="K352" s="142"/>
      <c r="L352" s="142"/>
      <c r="M352" s="137">
        <v>0</v>
      </c>
      <c r="N352" s="142"/>
      <c r="O352" s="137"/>
      <c r="P352" s="137"/>
      <c r="Q352" s="137"/>
      <c r="R352" s="137"/>
      <c r="S352" s="137"/>
      <c r="T352" s="137"/>
      <c r="U352" s="137"/>
      <c r="V352" s="137"/>
      <c r="W352" s="137"/>
      <c r="X352" s="420">
        <f t="shared" si="56"/>
        <v>24</v>
      </c>
      <c r="Y352" s="140" t="str">
        <f t="shared" si="57"/>
        <v>Sí</v>
      </c>
      <c r="Z352" s="141">
        <f t="shared" ref="Z352:Z361" si="58">COUNTA(G352,J352,M352,P352,S352,V352)</f>
        <v>3</v>
      </c>
    </row>
    <row r="353" spans="2:39" ht="13" x14ac:dyDescent="0.3">
      <c r="B353" s="133">
        <v>3</v>
      </c>
      <c r="C353" s="507" t="s">
        <v>596</v>
      </c>
      <c r="D353" s="496"/>
      <c r="E353" s="497"/>
      <c r="F353" s="142"/>
      <c r="G353" s="137">
        <f>IFERROR(VLOOKUP(C353,'01_RS ALCARRIA'!$F$6:$U$70,15, FALSE), " ")*2</f>
        <v>10</v>
      </c>
      <c r="H353" s="142"/>
      <c r="I353" s="142"/>
      <c r="J353" s="137">
        <f>IFERROR(VLOOKUP(C353,'02_TCT GUADAMUR'!$F$6:$U$70,15, FALSE), " ")</f>
        <v>6</v>
      </c>
      <c r="K353" s="142"/>
      <c r="L353" s="142"/>
      <c r="M353" s="137">
        <f>IFERROR(VLOOKUP(C353,'03_TCT MAQUEDA'!$F$6:$U$70,15, FALSE), " ")</f>
        <v>6</v>
      </c>
      <c r="N353" s="142"/>
      <c r="O353" s="137"/>
      <c r="P353" s="137"/>
      <c r="Q353" s="137"/>
      <c r="R353" s="137"/>
      <c r="S353" s="137"/>
      <c r="T353" s="137"/>
      <c r="U353" s="137"/>
      <c r="V353" s="137"/>
      <c r="W353" s="137"/>
      <c r="X353" s="420">
        <f t="shared" si="56"/>
        <v>22</v>
      </c>
      <c r="Y353" s="140" t="str">
        <f t="shared" si="57"/>
        <v>Sí</v>
      </c>
      <c r="Z353" s="141">
        <f t="shared" si="58"/>
        <v>3</v>
      </c>
    </row>
    <row r="354" spans="2:39" ht="12.75" customHeight="1" x14ac:dyDescent="0.3">
      <c r="B354" s="133">
        <v>4</v>
      </c>
      <c r="C354" s="507" t="s">
        <v>625</v>
      </c>
      <c r="D354" s="496"/>
      <c r="E354" s="497"/>
      <c r="F354" s="142"/>
      <c r="G354" s="494">
        <f>IFERROR(VLOOKUP(C354,'01_RS ALCARRIA'!$F$6:$U$70,15, FALSE), " ")</f>
        <v>10</v>
      </c>
      <c r="H354" s="142"/>
      <c r="I354" s="142"/>
      <c r="J354" s="137">
        <f>IFERROR(VLOOKUP(C354,'02_TCT GUADAMUR'!$F$6:$U$70,15, FALSE), " ")</f>
        <v>8</v>
      </c>
      <c r="K354" s="142"/>
      <c r="L354" s="137"/>
      <c r="M354" s="137"/>
      <c r="N354" s="137"/>
      <c r="O354" s="137"/>
      <c r="P354" s="137"/>
      <c r="Q354" s="137"/>
      <c r="R354" s="137"/>
      <c r="S354" s="137"/>
      <c r="T354" s="137"/>
      <c r="U354" s="137"/>
      <c r="V354" s="137"/>
      <c r="W354" s="137"/>
      <c r="X354" s="420">
        <f t="shared" si="56"/>
        <v>18</v>
      </c>
      <c r="Y354" s="140" t="str">
        <f t="shared" si="57"/>
        <v>No</v>
      </c>
      <c r="Z354" s="141">
        <f t="shared" si="58"/>
        <v>2</v>
      </c>
    </row>
    <row r="355" spans="2:39" ht="12.75" customHeight="1" x14ac:dyDescent="0.3">
      <c r="B355" s="133">
        <v>5</v>
      </c>
      <c r="C355" s="507" t="s">
        <v>688</v>
      </c>
      <c r="D355" s="496"/>
      <c r="E355" s="497"/>
      <c r="F355" s="137"/>
      <c r="G355" s="137"/>
      <c r="H355" s="137"/>
      <c r="I355" s="142"/>
      <c r="J355" s="137">
        <f>IFERROR(VLOOKUP(C355,'02_TCT GUADAMUR'!$F$6:$U$70,15, FALSE), " ")</f>
        <v>8</v>
      </c>
      <c r="K355" s="142"/>
      <c r="L355" s="142"/>
      <c r="M355" s="137">
        <f>IFERROR(VLOOKUP(C355,'03_TCT MAQUEDA'!$F$6:$U$70,15, FALSE), " ")</f>
        <v>8</v>
      </c>
      <c r="N355" s="142"/>
      <c r="O355" s="137"/>
      <c r="P355" s="137"/>
      <c r="Q355" s="137"/>
      <c r="R355" s="137"/>
      <c r="S355" s="137"/>
      <c r="T355" s="137"/>
      <c r="U355" s="137"/>
      <c r="V355" s="137"/>
      <c r="W355" s="137"/>
      <c r="X355" s="420">
        <f t="shared" si="56"/>
        <v>16</v>
      </c>
      <c r="Y355" s="140" t="str">
        <f t="shared" si="57"/>
        <v>No</v>
      </c>
      <c r="Z355" s="141">
        <f t="shared" si="58"/>
        <v>2</v>
      </c>
    </row>
    <row r="356" spans="2:39" ht="12.75" customHeight="1" x14ac:dyDescent="0.3">
      <c r="B356" s="133">
        <v>6</v>
      </c>
      <c r="C356" s="507" t="s">
        <v>638</v>
      </c>
      <c r="D356" s="496"/>
      <c r="E356" s="497"/>
      <c r="F356" s="142"/>
      <c r="G356" s="137">
        <v>0</v>
      </c>
      <c r="H356" s="142"/>
      <c r="I356" s="142"/>
      <c r="J356" s="137">
        <f>IFERROR(VLOOKUP(C356,'02_TCT GUADAMUR'!$F$6:$U$70,15, FALSE), " ")</f>
        <v>5</v>
      </c>
      <c r="K356" s="142"/>
      <c r="L356" s="142"/>
      <c r="M356" s="137">
        <f>IFERROR(VLOOKUP(C356,'03_TCT MAQUEDA'!$F$6:$U$70,15, FALSE), " ")</f>
        <v>10</v>
      </c>
      <c r="N356" s="142"/>
      <c r="O356" s="137"/>
      <c r="P356" s="137"/>
      <c r="Q356" s="137"/>
      <c r="R356" s="137"/>
      <c r="S356" s="137"/>
      <c r="T356" s="137"/>
      <c r="U356" s="137"/>
      <c r="V356" s="137"/>
      <c r="W356" s="137"/>
      <c r="X356" s="420">
        <f t="shared" si="56"/>
        <v>15</v>
      </c>
      <c r="Y356" s="140" t="str">
        <f t="shared" si="57"/>
        <v>Sí</v>
      </c>
      <c r="Z356" s="141">
        <f t="shared" si="58"/>
        <v>3</v>
      </c>
    </row>
    <row r="357" spans="2:39" ht="12.75" customHeight="1" x14ac:dyDescent="0.3">
      <c r="B357" s="133">
        <v>7</v>
      </c>
      <c r="C357" s="507" t="s">
        <v>293</v>
      </c>
      <c r="D357" s="496"/>
      <c r="E357" s="497"/>
      <c r="F357" s="137"/>
      <c r="G357" s="137"/>
      <c r="H357" s="137"/>
      <c r="I357" s="137"/>
      <c r="J357" s="137"/>
      <c r="K357" s="137"/>
      <c r="L357" s="142"/>
      <c r="M357" s="137">
        <f>IFERROR(VLOOKUP(C357,'03_TCT MAQUEDA'!$F$6:$U$70,15, FALSE), " ")</f>
        <v>8</v>
      </c>
      <c r="N357" s="142"/>
      <c r="O357" s="137"/>
      <c r="P357" s="137"/>
      <c r="Q357" s="137"/>
      <c r="R357" s="137"/>
      <c r="S357" s="137"/>
      <c r="T357" s="137"/>
      <c r="U357" s="137"/>
      <c r="V357" s="137"/>
      <c r="W357" s="137"/>
      <c r="X357" s="420">
        <f t="shared" si="56"/>
        <v>8</v>
      </c>
      <c r="Y357" s="140" t="str">
        <f t="shared" si="57"/>
        <v>No</v>
      </c>
      <c r="Z357" s="141">
        <f t="shared" si="58"/>
        <v>1</v>
      </c>
    </row>
    <row r="358" spans="2:39" ht="12.75" customHeight="1" x14ac:dyDescent="0.3">
      <c r="B358" s="133">
        <v>8</v>
      </c>
      <c r="C358" s="507" t="s">
        <v>690</v>
      </c>
      <c r="D358" s="496"/>
      <c r="E358" s="497"/>
      <c r="F358" s="137"/>
      <c r="G358" s="137"/>
      <c r="H358" s="137"/>
      <c r="I358" s="142"/>
      <c r="J358" s="137">
        <f>IFERROR(VLOOKUP(C358,'02_TCT GUADAMUR'!$F$6:$U$70,15, FALSE), " ")</f>
        <v>6</v>
      </c>
      <c r="K358" s="142"/>
      <c r="L358" s="137"/>
      <c r="M358" s="137"/>
      <c r="N358" s="137"/>
      <c r="O358" s="137"/>
      <c r="P358" s="137"/>
      <c r="Q358" s="137"/>
      <c r="R358" s="137"/>
      <c r="S358" s="137"/>
      <c r="T358" s="137"/>
      <c r="U358" s="137"/>
      <c r="V358" s="137"/>
      <c r="W358" s="137"/>
      <c r="X358" s="420">
        <f t="shared" si="56"/>
        <v>6</v>
      </c>
      <c r="Y358" s="140" t="str">
        <f t="shared" si="57"/>
        <v>No</v>
      </c>
      <c r="Z358" s="141">
        <f t="shared" si="58"/>
        <v>1</v>
      </c>
    </row>
    <row r="359" spans="2:39" ht="12.75" customHeight="1" x14ac:dyDescent="0.3">
      <c r="B359" s="133" t="s">
        <v>658</v>
      </c>
      <c r="C359" s="507" t="s">
        <v>620</v>
      </c>
      <c r="D359" s="496"/>
      <c r="E359" s="497"/>
      <c r="F359" s="142"/>
      <c r="G359" s="137">
        <f>IFERROR(VLOOKUP(C359,'01_RS ALCARRIA'!$F$6:$U$70,15, FALSE), " ")*2</f>
        <v>0</v>
      </c>
      <c r="H359" s="142"/>
      <c r="I359" s="137"/>
      <c r="J359" s="137"/>
      <c r="K359" s="137"/>
      <c r="L359" s="137"/>
      <c r="M359" s="137"/>
      <c r="N359" s="137"/>
      <c r="O359" s="137"/>
      <c r="P359" s="137"/>
      <c r="Q359" s="137"/>
      <c r="R359" s="137"/>
      <c r="S359" s="137"/>
      <c r="T359" s="137"/>
      <c r="U359" s="137"/>
      <c r="V359" s="137"/>
      <c r="W359" s="137"/>
      <c r="X359" s="420">
        <f t="shared" si="56"/>
        <v>0</v>
      </c>
      <c r="Y359" s="140" t="str">
        <f t="shared" si="57"/>
        <v>No</v>
      </c>
      <c r="Z359" s="141">
        <f t="shared" si="58"/>
        <v>1</v>
      </c>
    </row>
    <row r="360" spans="2:39" ht="12.75" customHeight="1" x14ac:dyDescent="0.3">
      <c r="B360" s="133" t="s">
        <v>658</v>
      </c>
      <c r="C360" s="507" t="s">
        <v>458</v>
      </c>
      <c r="D360" s="496"/>
      <c r="E360" s="497"/>
      <c r="F360" s="137"/>
      <c r="G360" s="137"/>
      <c r="H360" s="137"/>
      <c r="I360" s="142"/>
      <c r="J360" s="137">
        <v>0</v>
      </c>
      <c r="K360" s="142"/>
      <c r="L360" s="142"/>
      <c r="M360" s="137">
        <v>0</v>
      </c>
      <c r="N360" s="142"/>
      <c r="O360" s="137"/>
      <c r="P360" s="137"/>
      <c r="Q360" s="137"/>
      <c r="R360" s="137"/>
      <c r="S360" s="137"/>
      <c r="T360" s="137"/>
      <c r="U360" s="137"/>
      <c r="V360" s="137"/>
      <c r="W360" s="137"/>
      <c r="X360" s="420">
        <f t="shared" si="56"/>
        <v>0</v>
      </c>
      <c r="Y360" s="140" t="str">
        <f t="shared" si="57"/>
        <v>No</v>
      </c>
      <c r="Z360" s="141">
        <f t="shared" si="58"/>
        <v>2</v>
      </c>
    </row>
    <row r="361" spans="2:39" ht="12.75" customHeight="1" x14ac:dyDescent="0.3">
      <c r="B361" s="133" t="s">
        <v>658</v>
      </c>
      <c r="C361" s="507" t="s">
        <v>276</v>
      </c>
      <c r="D361" s="496"/>
      <c r="E361" s="497"/>
      <c r="F361" s="137"/>
      <c r="G361" s="137"/>
      <c r="H361" s="137"/>
      <c r="I361" s="137"/>
      <c r="J361" s="137"/>
      <c r="K361" s="137"/>
      <c r="L361" s="142"/>
      <c r="M361" s="137">
        <v>0</v>
      </c>
      <c r="N361" s="142"/>
      <c r="O361" s="137"/>
      <c r="P361" s="137"/>
      <c r="Q361" s="137"/>
      <c r="R361" s="137"/>
      <c r="S361" s="137"/>
      <c r="T361" s="137"/>
      <c r="U361" s="137"/>
      <c r="V361" s="137"/>
      <c r="W361" s="137"/>
      <c r="X361" s="420">
        <f t="shared" si="56"/>
        <v>0</v>
      </c>
      <c r="Y361" s="140" t="str">
        <f t="shared" si="57"/>
        <v>No</v>
      </c>
      <c r="Z361" s="141">
        <f t="shared" si="58"/>
        <v>1</v>
      </c>
    </row>
    <row r="362" spans="2:39" s="261" customFormat="1" x14ac:dyDescent="0.3"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130"/>
      <c r="Z362" s="130"/>
      <c r="AA362" s="130"/>
      <c r="AC362" s="130"/>
      <c r="AD362" s="130"/>
      <c r="AE362" s="130"/>
      <c r="AF362" s="130"/>
      <c r="AG362" s="130"/>
      <c r="AH362" s="130"/>
      <c r="AI362" s="130"/>
      <c r="AJ362" s="130"/>
      <c r="AK362" s="130"/>
      <c r="AL362" s="130"/>
      <c r="AM362" s="130"/>
    </row>
    <row r="363" spans="2:39" s="261" customFormat="1" ht="12" x14ac:dyDescent="0.3">
      <c r="B363" s="4"/>
      <c r="C363" s="4"/>
      <c r="D363" s="284"/>
      <c r="E363" s="285" t="s">
        <v>551</v>
      </c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130"/>
      <c r="Z363" s="130"/>
      <c r="AA363" s="130"/>
      <c r="AC363" s="130"/>
      <c r="AD363" s="130"/>
      <c r="AE363" s="130"/>
      <c r="AF363" s="130"/>
      <c r="AG363" s="130"/>
      <c r="AH363" s="130"/>
      <c r="AI363" s="130"/>
      <c r="AJ363" s="130"/>
      <c r="AK363" s="130"/>
      <c r="AL363" s="130"/>
      <c r="AM363" s="130"/>
    </row>
    <row r="364" spans="2:39" s="261" customFormat="1" x14ac:dyDescent="0.3"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130"/>
      <c r="Z364" s="130"/>
      <c r="AA364" s="130"/>
      <c r="AC364" s="130"/>
      <c r="AD364" s="130"/>
      <c r="AE364" s="130"/>
      <c r="AF364" s="130"/>
      <c r="AG364" s="130"/>
      <c r="AH364" s="130"/>
      <c r="AI364" s="130"/>
      <c r="AJ364" s="130"/>
      <c r="AK364" s="130"/>
      <c r="AL364" s="130"/>
      <c r="AM364" s="130"/>
    </row>
    <row r="365" spans="2:39" s="261" customFormat="1" ht="39" customHeight="1" x14ac:dyDescent="0.55000000000000004">
      <c r="B365" s="527" t="s">
        <v>516</v>
      </c>
      <c r="C365" s="527"/>
      <c r="D365" s="527"/>
      <c r="E365" s="527"/>
      <c r="F365" s="527"/>
      <c r="G365" s="527"/>
      <c r="H365" s="527"/>
      <c r="I365" s="527"/>
      <c r="J365" s="527"/>
      <c r="K365" s="527"/>
      <c r="L365" s="527"/>
      <c r="M365" s="527"/>
      <c r="N365" s="527"/>
      <c r="O365" s="527"/>
      <c r="P365" s="527"/>
      <c r="Q365" s="527"/>
      <c r="R365" s="527"/>
      <c r="S365" s="527"/>
      <c r="T365" s="527"/>
      <c r="U365" s="527"/>
      <c r="V365" s="527"/>
      <c r="W365" s="4"/>
      <c r="X365" s="4"/>
      <c r="Y365" s="130"/>
      <c r="Z365" s="130"/>
      <c r="AA365" s="130" t="s">
        <v>563</v>
      </c>
      <c r="AC365" s="130"/>
      <c r="AD365" s="130"/>
      <c r="AE365" s="130"/>
      <c r="AF365" s="130"/>
      <c r="AG365" s="130"/>
      <c r="AH365" s="130"/>
      <c r="AI365" s="130"/>
      <c r="AJ365" s="130"/>
      <c r="AK365" s="130"/>
      <c r="AL365" s="130"/>
      <c r="AM365" s="130"/>
    </row>
    <row r="366" spans="2:39" s="261" customFormat="1" ht="37.5" customHeight="1" x14ac:dyDescent="0.3">
      <c r="B366" s="523" t="s">
        <v>352</v>
      </c>
      <c r="C366" s="523"/>
      <c r="D366" s="523"/>
      <c r="E366" s="523"/>
      <c r="F366" s="523"/>
      <c r="G366" s="523"/>
      <c r="H366" s="523"/>
      <c r="I366" s="523"/>
      <c r="J366" s="523"/>
      <c r="K366" s="523"/>
      <c r="L366" s="523"/>
      <c r="M366" s="523"/>
      <c r="N366" s="523"/>
      <c r="O366" s="523"/>
      <c r="P366" s="523"/>
      <c r="Q366" s="523"/>
      <c r="R366" s="523"/>
      <c r="S366" s="523"/>
      <c r="T366" s="523"/>
      <c r="U366" s="523"/>
      <c r="V366" s="523"/>
      <c r="W366" s="4"/>
      <c r="X366" s="4"/>
      <c r="Y366" s="30"/>
      <c r="Z366" s="30"/>
      <c r="AA366" s="130"/>
      <c r="AC366" s="130"/>
      <c r="AD366" s="130"/>
      <c r="AE366" s="130"/>
      <c r="AF366" s="130"/>
      <c r="AG366" s="130"/>
      <c r="AH366" s="130"/>
      <c r="AI366" s="130"/>
      <c r="AJ366" s="130"/>
      <c r="AK366" s="130"/>
      <c r="AL366" s="130"/>
      <c r="AM366" s="130"/>
    </row>
    <row r="367" spans="2:39" s="261" customFormat="1" ht="12.75" customHeight="1" x14ac:dyDescent="0.3">
      <c r="B367" s="430"/>
      <c r="C367" s="416"/>
      <c r="D367" s="422"/>
      <c r="E367" s="224"/>
      <c r="F367" s="424"/>
      <c r="G367" s="422"/>
      <c r="H367" s="226"/>
      <c r="I367" s="426"/>
      <c r="J367" s="422"/>
      <c r="K367" s="226"/>
      <c r="L367" s="426"/>
      <c r="M367" s="422"/>
      <c r="N367" s="226"/>
      <c r="O367" s="426"/>
      <c r="P367" s="422"/>
      <c r="Q367" s="226"/>
      <c r="R367" s="426"/>
      <c r="S367" s="428" t="s">
        <v>213</v>
      </c>
      <c r="T367" s="422"/>
      <c r="U367" s="426"/>
      <c r="V367" s="428" t="s">
        <v>213</v>
      </c>
      <c r="W367" s="413"/>
      <c r="X367" s="431" t="s">
        <v>213</v>
      </c>
      <c r="Y367" s="30"/>
      <c r="Z367" s="30"/>
      <c r="AA367" s="130"/>
      <c r="AC367" s="130"/>
      <c r="AD367" s="130"/>
      <c r="AE367" s="130"/>
      <c r="AF367" s="130"/>
      <c r="AG367" s="130"/>
      <c r="AH367" s="130"/>
      <c r="AI367" s="130"/>
      <c r="AJ367" s="130"/>
      <c r="AK367" s="130"/>
      <c r="AL367" s="130"/>
      <c r="AM367" s="130"/>
    </row>
    <row r="368" spans="2:39" s="261" customFormat="1" ht="12.75" customHeight="1" x14ac:dyDescent="0.3">
      <c r="B368" s="159" t="s">
        <v>0</v>
      </c>
      <c r="C368" s="524" t="s">
        <v>353</v>
      </c>
      <c r="D368" s="525"/>
      <c r="E368" s="526"/>
      <c r="F368" s="421" t="s">
        <v>531</v>
      </c>
      <c r="G368" s="421"/>
      <c r="H368" s="260"/>
      <c r="I368" s="258" t="s">
        <v>524</v>
      </c>
      <c r="J368" s="421"/>
      <c r="K368" s="260"/>
      <c r="L368" s="258" t="s">
        <v>532</v>
      </c>
      <c r="M368" s="421"/>
      <c r="N368" s="260"/>
      <c r="O368" s="258" t="s">
        <v>526</v>
      </c>
      <c r="P368" s="421"/>
      <c r="Q368" s="260"/>
      <c r="R368" s="258" t="s">
        <v>287</v>
      </c>
      <c r="S368" s="421"/>
      <c r="T368" s="259"/>
      <c r="U368" s="258" t="s">
        <v>527</v>
      </c>
      <c r="V368" s="421"/>
      <c r="W368" s="260"/>
      <c r="X368" s="432" t="s">
        <v>9</v>
      </c>
      <c r="Y368" s="519" t="s">
        <v>223</v>
      </c>
      <c r="Z368" s="521" t="s">
        <v>4</v>
      </c>
      <c r="AA368" s="130"/>
      <c r="AC368" s="130"/>
      <c r="AD368" s="130"/>
      <c r="AE368" s="130"/>
      <c r="AF368" s="130"/>
      <c r="AG368" s="130"/>
      <c r="AH368" s="130"/>
      <c r="AI368" s="130"/>
      <c r="AJ368" s="130"/>
      <c r="AK368" s="130"/>
      <c r="AL368" s="130"/>
      <c r="AM368" s="130"/>
    </row>
    <row r="369" spans="2:39" s="261" customFormat="1" ht="12.75" customHeight="1" x14ac:dyDescent="0.3">
      <c r="B369" s="163"/>
      <c r="C369" s="417"/>
      <c r="D369" s="423"/>
      <c r="E369" s="219"/>
      <c r="F369" s="452"/>
      <c r="G369" s="453"/>
      <c r="H369" s="255"/>
      <c r="I369" s="454"/>
      <c r="J369" s="453"/>
      <c r="K369" s="255"/>
      <c r="L369" s="454"/>
      <c r="M369" s="453"/>
      <c r="N369" s="255"/>
      <c r="O369" s="454"/>
      <c r="P369" s="453"/>
      <c r="Q369" s="255"/>
      <c r="R369" s="454"/>
      <c r="S369" s="455"/>
      <c r="T369" s="453"/>
      <c r="U369" s="456"/>
      <c r="V369" s="457" t="s">
        <v>213</v>
      </c>
      <c r="W369" s="458"/>
      <c r="X369" s="459"/>
      <c r="Y369" s="520"/>
      <c r="Z369" s="522"/>
      <c r="AA369" s="130"/>
      <c r="AC369" s="130"/>
      <c r="AD369" s="130"/>
      <c r="AE369" s="130"/>
      <c r="AF369" s="130"/>
      <c r="AG369" s="130"/>
      <c r="AH369" s="130"/>
      <c r="AI369" s="130"/>
      <c r="AJ369" s="130"/>
      <c r="AK369" s="130"/>
      <c r="AL369" s="130"/>
      <c r="AM369" s="130"/>
    </row>
    <row r="370" spans="2:39" s="261" customFormat="1" ht="12.75" customHeight="1" x14ac:dyDescent="0.3">
      <c r="B370" s="133">
        <v>1</v>
      </c>
      <c r="C370" s="507" t="s">
        <v>169</v>
      </c>
      <c r="D370" s="496"/>
      <c r="E370" s="496"/>
      <c r="F370" s="142"/>
      <c r="G370" s="135">
        <f>IFERROR(VLOOKUP(C370,'01_RS ALCARRIA'!$Z$6:$AA$30,2, FALSE), " ")*2</f>
        <v>104</v>
      </c>
      <c r="H370" s="142"/>
      <c r="I370" s="142" t="s">
        <v>213</v>
      </c>
      <c r="J370" s="135">
        <f>IFERROR(VLOOKUP(C370,'02_TCT GUADAMUR'!$Z$6:$AA$30,2, FALSE), " ")</f>
        <v>52</v>
      </c>
      <c r="K370" s="142" t="s">
        <v>213</v>
      </c>
      <c r="L370" s="142"/>
      <c r="M370" s="135">
        <f>IFERROR(VLOOKUP(C370,'03_TCT MAQUEDA'!$Z$6:$AA$30,2, FALSE), " ")</f>
        <v>32</v>
      </c>
      <c r="N370" s="142"/>
      <c r="O370" s="137"/>
      <c r="P370" s="137"/>
      <c r="Q370" s="137"/>
      <c r="R370" s="137"/>
      <c r="S370" s="137"/>
      <c r="T370" s="137"/>
      <c r="U370" s="137"/>
      <c r="V370" s="137"/>
      <c r="W370" s="137"/>
      <c r="X370" s="460">
        <f t="shared" ref="X370:X379" si="59">SUM(G370,J370,M370,P370,S370,V370)</f>
        <v>188</v>
      </c>
      <c r="Y370" s="140" t="str">
        <f t="shared" ref="Y370:Y379" si="60">IF(Z370&gt;=3,"Sí","No")</f>
        <v>Sí</v>
      </c>
      <c r="Z370" s="141">
        <f>COUNTA(G370,J370,M370,P370,S370,V370)</f>
        <v>3</v>
      </c>
      <c r="AA370" s="130"/>
      <c r="AC370" s="130"/>
      <c r="AD370" s="130"/>
      <c r="AE370" s="130"/>
      <c r="AF370" s="130"/>
      <c r="AG370" s="130"/>
      <c r="AH370" s="130"/>
      <c r="AI370" s="130"/>
      <c r="AJ370" s="130"/>
      <c r="AK370" s="130"/>
      <c r="AL370" s="130"/>
      <c r="AM370" s="130"/>
    </row>
    <row r="371" spans="2:39" s="261" customFormat="1" ht="13" x14ac:dyDescent="0.3">
      <c r="B371" s="133">
        <v>2</v>
      </c>
      <c r="C371" s="507" t="s">
        <v>588</v>
      </c>
      <c r="D371" s="496"/>
      <c r="E371" s="496"/>
      <c r="F371" s="142"/>
      <c r="G371" s="135">
        <f>IFERROR(VLOOKUP(C371,'01_RS ALCARRIA'!$Z$6:$AA$30,2, FALSE), " ")*2</f>
        <v>26</v>
      </c>
      <c r="H371" s="142"/>
      <c r="I371" s="142" t="s">
        <v>213</v>
      </c>
      <c r="J371" s="135">
        <f>IFERROR(VLOOKUP(C371,'02_TCT GUADAMUR'!$Z$6:$AA$30,2, FALSE), " ")</f>
        <v>38</v>
      </c>
      <c r="K371" s="142" t="s">
        <v>213</v>
      </c>
      <c r="L371" s="142"/>
      <c r="M371" s="135">
        <f>IFERROR(VLOOKUP(C371,'03_TCT MAQUEDA'!$Z$6:$AA$30,2, FALSE), " ")</f>
        <v>28</v>
      </c>
      <c r="N371" s="142"/>
      <c r="O371" s="137"/>
      <c r="P371" s="137"/>
      <c r="Q371" s="137"/>
      <c r="R371" s="137"/>
      <c r="S371" s="137"/>
      <c r="T371" s="137"/>
      <c r="U371" s="137"/>
      <c r="V371" s="137"/>
      <c r="W371" s="137"/>
      <c r="X371" s="460">
        <f t="shared" si="59"/>
        <v>92</v>
      </c>
      <c r="Y371" s="140" t="str">
        <f t="shared" si="60"/>
        <v>Sí</v>
      </c>
      <c r="Z371" s="141">
        <f t="shared" ref="Z371:Z379" si="61">COUNTA(G371,J371,M371,P371,S371,V371)</f>
        <v>3</v>
      </c>
      <c r="AA371" s="130"/>
      <c r="AC371" s="130"/>
      <c r="AD371" s="130"/>
      <c r="AE371" s="130"/>
      <c r="AF371" s="130"/>
      <c r="AG371" s="130"/>
      <c r="AH371" s="130"/>
      <c r="AI371" s="130"/>
      <c r="AJ371" s="130"/>
      <c r="AK371" s="130"/>
      <c r="AL371" s="130"/>
      <c r="AM371" s="130"/>
    </row>
    <row r="372" spans="2:39" s="261" customFormat="1" ht="12.75" customHeight="1" x14ac:dyDescent="0.3">
      <c r="B372" s="133">
        <v>3</v>
      </c>
      <c r="C372" s="507" t="s">
        <v>172</v>
      </c>
      <c r="D372" s="496"/>
      <c r="E372" s="496"/>
      <c r="F372" s="142"/>
      <c r="G372" s="135">
        <f>IFERROR(VLOOKUP(C372,'01_RS ALCARRIA'!$Z$6:$AA$30,2, FALSE), " ")*2</f>
        <v>32</v>
      </c>
      <c r="H372" s="142"/>
      <c r="I372" s="142" t="s">
        <v>213</v>
      </c>
      <c r="J372" s="135">
        <f>IFERROR(VLOOKUP(C372,'02_TCT GUADAMUR'!$Z$6:$AA$30,2, FALSE), " ")</f>
        <v>26</v>
      </c>
      <c r="K372" s="142" t="s">
        <v>213</v>
      </c>
      <c r="L372" s="142"/>
      <c r="M372" s="135">
        <f>IFERROR(VLOOKUP(C372,'03_TCT MAQUEDA'!$Z$6:$AA$30,2, FALSE), " ")</f>
        <v>10</v>
      </c>
      <c r="N372" s="142"/>
      <c r="O372" s="137"/>
      <c r="P372" s="137"/>
      <c r="Q372" s="137"/>
      <c r="R372" s="137"/>
      <c r="S372" s="137"/>
      <c r="T372" s="137"/>
      <c r="U372" s="137"/>
      <c r="V372" s="137"/>
      <c r="W372" s="137"/>
      <c r="X372" s="460">
        <f t="shared" si="59"/>
        <v>68</v>
      </c>
      <c r="Y372" s="140" t="str">
        <f t="shared" si="60"/>
        <v>Sí</v>
      </c>
      <c r="Z372" s="141">
        <f t="shared" si="61"/>
        <v>3</v>
      </c>
      <c r="AA372" s="130"/>
      <c r="AC372" s="130"/>
      <c r="AD372" s="130"/>
      <c r="AE372" s="130"/>
      <c r="AF372" s="130"/>
      <c r="AG372" s="130"/>
      <c r="AH372" s="130"/>
      <c r="AI372" s="130"/>
      <c r="AJ372" s="130"/>
      <c r="AK372" s="130"/>
      <c r="AL372" s="130"/>
      <c r="AM372" s="130"/>
    </row>
    <row r="373" spans="2:39" s="261" customFormat="1" ht="12.75" customHeight="1" x14ac:dyDescent="0.3">
      <c r="B373" s="133">
        <v>4</v>
      </c>
      <c r="C373" s="507" t="s">
        <v>171</v>
      </c>
      <c r="D373" s="496"/>
      <c r="E373" s="496"/>
      <c r="F373" s="142"/>
      <c r="G373" s="135">
        <f>IFERROR(VLOOKUP(C373,'01_RS ALCARRIA'!$Z$6:$AA$30,2, FALSE), " ")*2</f>
        <v>16</v>
      </c>
      <c r="H373" s="142"/>
      <c r="I373" s="137"/>
      <c r="J373" s="137"/>
      <c r="K373" s="137"/>
      <c r="L373" s="142"/>
      <c r="M373" s="135">
        <f>IFERROR(VLOOKUP(C373,'03_TCT MAQUEDA'!$Z$6:$AA$30,2, FALSE), " ")</f>
        <v>45</v>
      </c>
      <c r="N373" s="142"/>
      <c r="O373" s="137"/>
      <c r="P373" s="137"/>
      <c r="Q373" s="137"/>
      <c r="R373" s="137"/>
      <c r="S373" s="137"/>
      <c r="T373" s="137"/>
      <c r="U373" s="137"/>
      <c r="V373" s="137"/>
      <c r="W373" s="137"/>
      <c r="X373" s="460">
        <f t="shared" si="59"/>
        <v>61</v>
      </c>
      <c r="Y373" s="140" t="str">
        <f t="shared" si="60"/>
        <v>No</v>
      </c>
      <c r="Z373" s="141">
        <f t="shared" si="61"/>
        <v>2</v>
      </c>
      <c r="AA373" s="130"/>
      <c r="AC373" s="130"/>
      <c r="AD373" s="130"/>
      <c r="AE373" s="130"/>
      <c r="AF373" s="130"/>
      <c r="AG373" s="130"/>
      <c r="AH373" s="130"/>
      <c r="AI373" s="130"/>
      <c r="AJ373" s="130"/>
      <c r="AK373" s="130"/>
      <c r="AL373" s="130"/>
      <c r="AM373" s="130"/>
    </row>
    <row r="374" spans="2:39" s="261" customFormat="1" ht="12.75" customHeight="1" x14ac:dyDescent="0.3">
      <c r="B374" s="133">
        <v>5</v>
      </c>
      <c r="C374" s="507" t="s">
        <v>567</v>
      </c>
      <c r="D374" s="496"/>
      <c r="E374" s="496"/>
      <c r="F374" s="142"/>
      <c r="G374" s="135">
        <f>IFERROR(VLOOKUP(C374,'01_RS ALCARRIA'!$Z$6:$AA$30,2, FALSE), " ")*2</f>
        <v>54</v>
      </c>
      <c r="H374" s="142"/>
      <c r="I374" s="142"/>
      <c r="J374" s="135">
        <f>IFERROR(VLOOKUP(C374,'02_TCT GUADAMUR'!$Z$6:$AA$30,2, FALSE), " ")</f>
        <v>5</v>
      </c>
      <c r="K374" s="142"/>
      <c r="L374" s="137"/>
      <c r="M374" s="137"/>
      <c r="N374" s="137"/>
      <c r="O374" s="137"/>
      <c r="P374" s="137"/>
      <c r="Q374" s="137"/>
      <c r="R374" s="137"/>
      <c r="S374" s="137"/>
      <c r="T374" s="137"/>
      <c r="U374" s="137"/>
      <c r="V374" s="137"/>
      <c r="W374" s="137"/>
      <c r="X374" s="460">
        <f t="shared" si="59"/>
        <v>59</v>
      </c>
      <c r="Y374" s="140" t="str">
        <f t="shared" si="60"/>
        <v>No</v>
      </c>
      <c r="Z374" s="141">
        <f t="shared" si="61"/>
        <v>2</v>
      </c>
      <c r="AA374" s="130"/>
      <c r="AC374" s="130"/>
      <c r="AD374" s="130"/>
      <c r="AE374" s="130"/>
      <c r="AF374" s="130"/>
      <c r="AG374" s="130"/>
      <c r="AH374" s="130"/>
      <c r="AI374" s="130"/>
      <c r="AJ374" s="130"/>
      <c r="AK374" s="130"/>
      <c r="AL374" s="130"/>
      <c r="AM374" s="130"/>
    </row>
    <row r="375" spans="2:39" s="261" customFormat="1" ht="12.75" customHeight="1" x14ac:dyDescent="0.3">
      <c r="B375" s="133">
        <v>6</v>
      </c>
      <c r="C375" s="507" t="s">
        <v>330</v>
      </c>
      <c r="D375" s="496"/>
      <c r="E375" s="496"/>
      <c r="F375" s="142"/>
      <c r="G375" s="135">
        <f>IFERROR(VLOOKUP(C375,'01_RS ALCARRIA'!$Z$6:$AA$30,2, FALSE), " ")*2</f>
        <v>8</v>
      </c>
      <c r="H375" s="142"/>
      <c r="I375" s="142" t="s">
        <v>213</v>
      </c>
      <c r="J375" s="135">
        <f>IFERROR(VLOOKUP(C375,'02_TCT GUADAMUR'!$Z$6:$AA$30,2, FALSE), " ")</f>
        <v>4</v>
      </c>
      <c r="K375" s="142" t="s">
        <v>213</v>
      </c>
      <c r="L375" s="142"/>
      <c r="M375" s="135">
        <f>IFERROR(VLOOKUP(C375,'03_TCT MAQUEDA'!$Z$6:$AA$30,2, FALSE), " ")</f>
        <v>5</v>
      </c>
      <c r="N375" s="142"/>
      <c r="O375" s="137"/>
      <c r="P375" s="137"/>
      <c r="Q375" s="137"/>
      <c r="R375" s="137"/>
      <c r="S375" s="137"/>
      <c r="T375" s="137"/>
      <c r="U375" s="137"/>
      <c r="V375" s="137"/>
      <c r="W375" s="137"/>
      <c r="X375" s="460">
        <f t="shared" si="59"/>
        <v>17</v>
      </c>
      <c r="Y375" s="140" t="str">
        <f t="shared" si="60"/>
        <v>Sí</v>
      </c>
      <c r="Z375" s="141">
        <f t="shared" si="61"/>
        <v>3</v>
      </c>
      <c r="AA375" s="130"/>
      <c r="AC375" s="130"/>
      <c r="AD375" s="130"/>
      <c r="AE375" s="130"/>
      <c r="AF375" s="130"/>
      <c r="AG375" s="130"/>
      <c r="AH375" s="130"/>
      <c r="AI375" s="130"/>
      <c r="AJ375" s="130"/>
      <c r="AK375" s="130"/>
      <c r="AL375" s="130"/>
      <c r="AM375" s="130"/>
    </row>
    <row r="376" spans="2:39" s="261" customFormat="1" ht="12.75" customHeight="1" x14ac:dyDescent="0.3">
      <c r="B376" s="133">
        <v>7</v>
      </c>
      <c r="C376" s="507" t="s">
        <v>609</v>
      </c>
      <c r="D376" s="496"/>
      <c r="E376" s="496"/>
      <c r="F376" s="142"/>
      <c r="G376" s="135">
        <f>IFERROR(VLOOKUP(C376,'01_RS ALCARRIA'!$Z$6:$AA$30,2, FALSE), " ")*2</f>
        <v>0</v>
      </c>
      <c r="H376" s="142"/>
      <c r="I376" s="142" t="s">
        <v>213</v>
      </c>
      <c r="J376" s="135">
        <f>IFERROR(VLOOKUP(C376,'02_TCT GUADAMUR'!$Z$6:$AA$30,2, FALSE), " ")</f>
        <v>2</v>
      </c>
      <c r="K376" s="142" t="s">
        <v>213</v>
      </c>
      <c r="L376" s="142"/>
      <c r="M376" s="135">
        <f>IFERROR(VLOOKUP(C376,'03_TCT MAQUEDA'!$Z$6:$AA$30,2, FALSE), " ")</f>
        <v>4</v>
      </c>
      <c r="N376" s="142"/>
      <c r="O376" s="137"/>
      <c r="P376" s="137"/>
      <c r="Q376" s="137"/>
      <c r="R376" s="137"/>
      <c r="S376" s="137"/>
      <c r="T376" s="137"/>
      <c r="U376" s="137"/>
      <c r="V376" s="137"/>
      <c r="W376" s="137"/>
      <c r="X376" s="460">
        <f t="shared" si="59"/>
        <v>6</v>
      </c>
      <c r="Y376" s="140" t="str">
        <f t="shared" si="60"/>
        <v>Sí</v>
      </c>
      <c r="Z376" s="141">
        <f t="shared" si="61"/>
        <v>3</v>
      </c>
      <c r="AA376" s="130"/>
      <c r="AC376" s="130"/>
      <c r="AD376" s="130"/>
      <c r="AE376" s="130"/>
      <c r="AF376" s="130"/>
      <c r="AG376" s="130"/>
      <c r="AH376" s="130"/>
      <c r="AI376" s="130"/>
      <c r="AJ376" s="130"/>
      <c r="AK376" s="130"/>
      <c r="AL376" s="130"/>
      <c r="AM376" s="130"/>
    </row>
    <row r="377" spans="2:39" ht="12.75" customHeight="1" x14ac:dyDescent="0.3">
      <c r="B377" s="133" t="s">
        <v>658</v>
      </c>
      <c r="C377" s="507" t="s">
        <v>634</v>
      </c>
      <c r="D377" s="496"/>
      <c r="E377" s="496"/>
      <c r="F377" s="142"/>
      <c r="G377" s="135">
        <f>IFERROR(VLOOKUP(C377,'01_RS ALCARRIA'!$Z$6:$AA$30,2, FALSE), " ")*2</f>
        <v>0</v>
      </c>
      <c r="H377" s="142"/>
      <c r="I377" s="137"/>
      <c r="J377" s="137"/>
      <c r="K377" s="137"/>
      <c r="L377" s="137"/>
      <c r="M377" s="137"/>
      <c r="N377" s="137"/>
      <c r="O377" s="137"/>
      <c r="P377" s="137"/>
      <c r="Q377" s="137"/>
      <c r="R377" s="137"/>
      <c r="S377" s="137"/>
      <c r="T377" s="137"/>
      <c r="U377" s="137"/>
      <c r="V377" s="137"/>
      <c r="W377" s="137"/>
      <c r="X377" s="460">
        <f t="shared" si="59"/>
        <v>0</v>
      </c>
      <c r="Y377" s="140" t="str">
        <f t="shared" si="60"/>
        <v>No</v>
      </c>
      <c r="Z377" s="141">
        <f t="shared" si="61"/>
        <v>1</v>
      </c>
    </row>
    <row r="378" spans="2:39" ht="12.75" customHeight="1" x14ac:dyDescent="0.3">
      <c r="B378" s="133" t="s">
        <v>658</v>
      </c>
      <c r="C378" s="507" t="s">
        <v>444</v>
      </c>
      <c r="D378" s="496"/>
      <c r="E378" s="496"/>
      <c r="F378" s="142"/>
      <c r="G378" s="135">
        <f>IFERROR(VLOOKUP(C378,'01_RS ALCARRIA'!$Z$6:$AA$30,2, FALSE), " ")*2</f>
        <v>0</v>
      </c>
      <c r="H378" s="142"/>
      <c r="I378" s="137"/>
      <c r="J378" s="137"/>
      <c r="K378" s="137"/>
      <c r="L378" s="137"/>
      <c r="M378" s="137"/>
      <c r="N378" s="137"/>
      <c r="O378" s="137"/>
      <c r="P378" s="137"/>
      <c r="Q378" s="137"/>
      <c r="R378" s="137"/>
      <c r="S378" s="137"/>
      <c r="T378" s="137"/>
      <c r="U378" s="137"/>
      <c r="V378" s="137"/>
      <c r="W378" s="137"/>
      <c r="X378" s="460">
        <f t="shared" si="59"/>
        <v>0</v>
      </c>
      <c r="Y378" s="140" t="str">
        <f t="shared" si="60"/>
        <v>No</v>
      </c>
      <c r="Z378" s="141">
        <f t="shared" si="61"/>
        <v>1</v>
      </c>
    </row>
    <row r="379" spans="2:39" ht="12.75" customHeight="1" x14ac:dyDescent="0.3">
      <c r="B379" s="133" t="s">
        <v>658</v>
      </c>
      <c r="C379" s="507" t="s">
        <v>304</v>
      </c>
      <c r="D379" s="496"/>
      <c r="E379" s="496"/>
      <c r="F379" s="137"/>
      <c r="G379" s="137"/>
      <c r="H379" s="137"/>
      <c r="I379" s="142" t="s">
        <v>213</v>
      </c>
      <c r="J379" s="135">
        <f>IFERROR(VLOOKUP(C379,'02_TCT GUADAMUR'!$Z$6:$AA$30,2, FALSE), " ")</f>
        <v>0</v>
      </c>
      <c r="K379" s="142" t="s">
        <v>213</v>
      </c>
      <c r="L379" s="142"/>
      <c r="M379" s="135">
        <f>IFERROR(VLOOKUP(C379,'03_TCT MAQUEDA'!$Z$6:$AA$30,2, FALSE), " ")</f>
        <v>0</v>
      </c>
      <c r="N379" s="142"/>
      <c r="O379" s="137"/>
      <c r="P379" s="137"/>
      <c r="Q379" s="137"/>
      <c r="R379" s="137"/>
      <c r="S379" s="137"/>
      <c r="T379" s="137"/>
      <c r="U379" s="137"/>
      <c r="V379" s="137"/>
      <c r="W379" s="137"/>
      <c r="X379" s="460">
        <f t="shared" si="59"/>
        <v>0</v>
      </c>
      <c r="Y379" s="140" t="str">
        <f t="shared" si="60"/>
        <v>No</v>
      </c>
      <c r="Z379" s="141">
        <f t="shared" si="61"/>
        <v>2</v>
      </c>
    </row>
    <row r="380" spans="2:39" x14ac:dyDescent="0.3">
      <c r="T380" s="4"/>
      <c r="U380" s="4"/>
      <c r="V380" s="4"/>
      <c r="W380" s="4"/>
      <c r="X380" s="4"/>
    </row>
    <row r="381" spans="2:39" x14ac:dyDescent="0.3">
      <c r="T381" s="4"/>
      <c r="U381" s="4"/>
      <c r="V381" s="4"/>
      <c r="W381" s="4"/>
      <c r="X381" s="4"/>
    </row>
    <row r="382" spans="2:39" ht="39" customHeight="1" x14ac:dyDescent="0.55000000000000004">
      <c r="B382" s="527" t="s">
        <v>554</v>
      </c>
      <c r="C382" s="527"/>
      <c r="D382" s="527"/>
      <c r="E382" s="527"/>
      <c r="F382" s="527"/>
      <c r="G382" s="527"/>
      <c r="H382" s="527"/>
      <c r="I382" s="527"/>
      <c r="J382" s="527"/>
      <c r="K382" s="527"/>
      <c r="L382" s="527"/>
      <c r="M382" s="527"/>
      <c r="N382" s="527"/>
      <c r="O382" s="527"/>
      <c r="P382" s="527"/>
      <c r="Q382" s="527"/>
      <c r="R382" s="527"/>
      <c r="S382" s="527"/>
      <c r="T382" s="527"/>
      <c r="U382" s="527"/>
      <c r="V382" s="527"/>
      <c r="W382" s="4"/>
      <c r="X382" s="4"/>
      <c r="Y382" s="130" t="s">
        <v>660</v>
      </c>
    </row>
    <row r="383" spans="2:39" ht="37.5" customHeight="1" x14ac:dyDescent="0.3">
      <c r="B383" s="523" t="s">
        <v>224</v>
      </c>
      <c r="C383" s="523"/>
      <c r="D383" s="523"/>
      <c r="E383" s="523"/>
      <c r="F383" s="523"/>
      <c r="G383" s="523"/>
      <c r="H383" s="523"/>
      <c r="I383" s="523"/>
      <c r="J383" s="523"/>
      <c r="K383" s="523"/>
      <c r="L383" s="523"/>
      <c r="M383" s="523"/>
      <c r="N383" s="523"/>
      <c r="O383" s="523"/>
      <c r="P383" s="523"/>
      <c r="Q383" s="523"/>
      <c r="R383" s="523"/>
      <c r="S383" s="523"/>
      <c r="T383" s="523"/>
      <c r="U383" s="523"/>
      <c r="V383" s="523"/>
      <c r="W383" s="4"/>
      <c r="X383" s="4"/>
      <c r="Y383" s="30"/>
      <c r="Z383" s="30"/>
    </row>
    <row r="384" spans="2:39" ht="12.75" customHeight="1" x14ac:dyDescent="0.3">
      <c r="B384" s="430"/>
      <c r="C384" s="416"/>
      <c r="D384" s="422"/>
      <c r="E384" s="224"/>
      <c r="F384" s="424"/>
      <c r="G384" s="422"/>
      <c r="H384" s="226"/>
      <c r="I384" s="426"/>
      <c r="J384" s="422"/>
      <c r="K384" s="226"/>
      <c r="L384" s="426"/>
      <c r="M384" s="422"/>
      <c r="N384" s="226"/>
      <c r="O384" s="426"/>
      <c r="P384" s="422"/>
      <c r="Q384" s="226"/>
      <c r="R384" s="426"/>
      <c r="S384" s="428" t="s">
        <v>213</v>
      </c>
      <c r="T384" s="422"/>
      <c r="U384" s="426"/>
      <c r="V384" s="428" t="s">
        <v>213</v>
      </c>
      <c r="W384" s="413"/>
      <c r="X384" s="431" t="s">
        <v>213</v>
      </c>
      <c r="Y384" s="30"/>
      <c r="Z384" s="30"/>
    </row>
    <row r="385" spans="2:26" ht="12.75" customHeight="1" x14ac:dyDescent="0.3">
      <c r="B385" s="159" t="s">
        <v>0</v>
      </c>
      <c r="C385" s="524" t="s">
        <v>1</v>
      </c>
      <c r="D385" s="525"/>
      <c r="E385" s="526"/>
      <c r="F385" s="421" t="s">
        <v>531</v>
      </c>
      <c r="G385" s="421"/>
      <c r="H385" s="260"/>
      <c r="I385" s="258" t="s">
        <v>524</v>
      </c>
      <c r="J385" s="421"/>
      <c r="K385" s="260"/>
      <c r="L385" s="258" t="s">
        <v>532</v>
      </c>
      <c r="M385" s="421"/>
      <c r="N385" s="260"/>
      <c r="O385" s="258" t="s">
        <v>526</v>
      </c>
      <c r="P385" s="421"/>
      <c r="Q385" s="260"/>
      <c r="R385" s="258" t="s">
        <v>287</v>
      </c>
      <c r="S385" s="421"/>
      <c r="T385" s="259"/>
      <c r="U385" s="258" t="s">
        <v>527</v>
      </c>
      <c r="V385" s="421"/>
      <c r="W385" s="260"/>
      <c r="X385" s="432" t="s">
        <v>9</v>
      </c>
      <c r="Y385" s="519" t="s">
        <v>223</v>
      </c>
      <c r="Z385" s="521" t="s">
        <v>4</v>
      </c>
    </row>
    <row r="386" spans="2:26" ht="12.75" customHeight="1" x14ac:dyDescent="0.3">
      <c r="B386" s="163"/>
      <c r="C386" s="417"/>
      <c r="D386" s="423"/>
      <c r="E386" s="219"/>
      <c r="F386" s="425"/>
      <c r="G386" s="423"/>
      <c r="H386" s="221"/>
      <c r="I386" s="427"/>
      <c r="J386" s="423"/>
      <c r="K386" s="221"/>
      <c r="L386" s="427"/>
      <c r="M386" s="423"/>
      <c r="N386" s="221"/>
      <c r="O386" s="427"/>
      <c r="P386" s="423"/>
      <c r="Q386" s="221"/>
      <c r="R386" s="427"/>
      <c r="S386" s="429"/>
      <c r="T386" s="423"/>
      <c r="U386" s="433"/>
      <c r="V386" s="434" t="s">
        <v>213</v>
      </c>
      <c r="W386" s="435"/>
      <c r="X386" s="256"/>
      <c r="Y386" s="520"/>
      <c r="Z386" s="522"/>
    </row>
    <row r="387" spans="2:26" ht="12.75" customHeight="1" x14ac:dyDescent="0.3">
      <c r="B387" s="133">
        <v>1</v>
      </c>
      <c r="C387" s="237" t="s">
        <v>595</v>
      </c>
      <c r="D387" s="474"/>
      <c r="E387" s="238"/>
      <c r="F387" s="317"/>
      <c r="G387" s="418">
        <v>20</v>
      </c>
      <c r="H387" s="419"/>
      <c r="I387" s="317"/>
      <c r="J387" s="418">
        <v>20</v>
      </c>
      <c r="K387" s="419"/>
      <c r="L387" s="317"/>
      <c r="M387" s="418">
        <v>20</v>
      </c>
      <c r="N387" s="419"/>
      <c r="O387" s="317"/>
      <c r="P387" s="418"/>
      <c r="Q387" s="419"/>
      <c r="R387" s="419"/>
      <c r="S387" s="418"/>
      <c r="T387" s="419"/>
      <c r="U387" s="419"/>
      <c r="V387" s="418"/>
      <c r="W387" s="462"/>
      <c r="X387" s="420">
        <f>SUM(F387:W387)</f>
        <v>60</v>
      </c>
      <c r="Y387" s="140" t="str">
        <f>IF(Z387&gt;=3,"Sí","No")</f>
        <v>Sí</v>
      </c>
      <c r="Z387" s="141">
        <f>COUNTA(G387,J387,M387,P387,S387,V387)</f>
        <v>3</v>
      </c>
    </row>
    <row r="388" spans="2:26" ht="12.75" customHeight="1" x14ac:dyDescent="0.3">
      <c r="B388" s="133">
        <v>2</v>
      </c>
      <c r="C388" s="237" t="s">
        <v>607</v>
      </c>
      <c r="D388" s="474"/>
      <c r="E388" s="238"/>
      <c r="F388" s="317"/>
      <c r="G388" s="418">
        <v>14</v>
      </c>
      <c r="H388" s="419"/>
      <c r="I388" s="317"/>
      <c r="J388" s="418">
        <v>14</v>
      </c>
      <c r="K388" s="419"/>
      <c r="L388" s="317"/>
      <c r="M388" s="418">
        <v>14</v>
      </c>
      <c r="N388" s="419"/>
      <c r="O388" s="317"/>
      <c r="P388" s="418"/>
      <c r="Q388" s="419"/>
      <c r="R388" s="419"/>
      <c r="S388" s="418"/>
      <c r="T388" s="419"/>
      <c r="U388" s="419"/>
      <c r="V388" s="418"/>
      <c r="W388" s="462"/>
      <c r="X388" s="420">
        <f>SUM(F388:W388)</f>
        <v>42</v>
      </c>
      <c r="Y388" s="140" t="str">
        <f>IF(Z388&gt;=3,"Sí","No")</f>
        <v>Sí</v>
      </c>
      <c r="Z388" s="141">
        <f>COUNTA(G388,J388,M388,P388,S388,V388)</f>
        <v>3</v>
      </c>
    </row>
    <row r="389" spans="2:26" ht="12.75" customHeight="1" x14ac:dyDescent="0.3">
      <c r="B389" s="133">
        <v>3</v>
      </c>
      <c r="C389" s="237" t="s">
        <v>606</v>
      </c>
      <c r="D389" s="474"/>
      <c r="E389" s="238"/>
      <c r="F389" s="317"/>
      <c r="G389" s="418">
        <v>16</v>
      </c>
      <c r="H389" s="419"/>
      <c r="I389" s="317"/>
      <c r="J389" s="418">
        <v>16</v>
      </c>
      <c r="K389" s="419"/>
      <c r="L389" s="317"/>
      <c r="M389" s="418" t="s">
        <v>658</v>
      </c>
      <c r="N389" s="419"/>
      <c r="O389" s="317"/>
      <c r="P389" s="418"/>
      <c r="Q389" s="419"/>
      <c r="R389" s="419"/>
      <c r="S389" s="418"/>
      <c r="T389" s="419"/>
      <c r="U389" s="419"/>
      <c r="V389" s="418"/>
      <c r="W389" s="462"/>
      <c r="X389" s="420">
        <f>SUM(F389:W389)</f>
        <v>32</v>
      </c>
      <c r="Y389" s="140" t="str">
        <f>IF(Z389&gt;=3,"Sí","No")</f>
        <v>Sí</v>
      </c>
      <c r="Z389" s="141">
        <f>COUNTA(G389,J389,M389,P389,S389,V389)</f>
        <v>3</v>
      </c>
    </row>
    <row r="390" spans="2:26" ht="12.75" customHeight="1" x14ac:dyDescent="0.3">
      <c r="B390" s="133">
        <v>4</v>
      </c>
      <c r="C390" s="237" t="s">
        <v>632</v>
      </c>
      <c r="D390" s="474"/>
      <c r="E390" s="238"/>
      <c r="F390" s="317"/>
      <c r="G390" s="418">
        <v>0</v>
      </c>
      <c r="H390" s="419"/>
      <c r="I390" s="317"/>
      <c r="J390" s="418" t="s">
        <v>658</v>
      </c>
      <c r="K390" s="419"/>
      <c r="L390" s="317"/>
      <c r="M390" s="418">
        <v>16</v>
      </c>
      <c r="N390" s="419"/>
      <c r="O390" s="317"/>
      <c r="P390" s="418"/>
      <c r="Q390" s="419"/>
      <c r="R390" s="419"/>
      <c r="S390" s="418"/>
      <c r="T390" s="419"/>
      <c r="U390" s="419"/>
      <c r="V390" s="418"/>
      <c r="W390" s="462"/>
      <c r="X390" s="420">
        <f>SUM(F390:W390)</f>
        <v>16</v>
      </c>
      <c r="Y390" s="140" t="str">
        <f>IF(Z390&gt;=3,"Sí","No")</f>
        <v>Sí</v>
      </c>
      <c r="Z390" s="141">
        <f>COUNTA(G390,J390,M390,P390,S390,V390)</f>
        <v>3</v>
      </c>
    </row>
    <row r="391" spans="2:26" x14ac:dyDescent="0.3">
      <c r="T391" s="4"/>
      <c r="U391" s="4"/>
      <c r="V391" s="4"/>
      <c r="W391" s="4"/>
      <c r="X391" s="4"/>
    </row>
    <row r="393" spans="2:26" ht="39" customHeight="1" x14ac:dyDescent="0.55000000000000004">
      <c r="B393" s="527" t="s">
        <v>554</v>
      </c>
      <c r="C393" s="527"/>
      <c r="D393" s="527"/>
      <c r="E393" s="527"/>
      <c r="F393" s="527"/>
      <c r="G393" s="527"/>
      <c r="H393" s="527"/>
      <c r="I393" s="527"/>
      <c r="J393" s="527"/>
      <c r="K393" s="527"/>
      <c r="L393" s="527"/>
      <c r="M393" s="527"/>
      <c r="N393" s="527"/>
      <c r="O393" s="527"/>
      <c r="P393" s="527"/>
      <c r="Q393" s="527"/>
      <c r="R393" s="527"/>
      <c r="S393" s="527"/>
      <c r="T393" s="527"/>
      <c r="U393" s="527"/>
      <c r="V393" s="527"/>
      <c r="W393" s="4"/>
      <c r="X393" s="4"/>
    </row>
    <row r="394" spans="2:26" ht="37.5" customHeight="1" x14ac:dyDescent="0.3">
      <c r="B394" s="523" t="s">
        <v>338</v>
      </c>
      <c r="C394" s="523"/>
      <c r="D394" s="523"/>
      <c r="E394" s="523"/>
      <c r="F394" s="523"/>
      <c r="G394" s="523"/>
      <c r="H394" s="523"/>
      <c r="I394" s="523"/>
      <c r="J394" s="523"/>
      <c r="K394" s="523"/>
      <c r="L394" s="523"/>
      <c r="M394" s="523"/>
      <c r="N394" s="523"/>
      <c r="O394" s="523"/>
      <c r="P394" s="523"/>
      <c r="Q394" s="523"/>
      <c r="R394" s="523"/>
      <c r="S394" s="523"/>
      <c r="T394" s="523"/>
      <c r="U394" s="523"/>
      <c r="V394" s="523"/>
      <c r="W394" s="4"/>
      <c r="X394" s="4"/>
      <c r="Y394" s="30"/>
      <c r="Z394" s="30"/>
    </row>
    <row r="395" spans="2:26" ht="12.75" customHeight="1" x14ac:dyDescent="0.3">
      <c r="B395" s="430"/>
      <c r="C395" s="416"/>
      <c r="D395" s="422"/>
      <c r="E395" s="224"/>
      <c r="F395" s="424"/>
      <c r="G395" s="422"/>
      <c r="H395" s="226"/>
      <c r="I395" s="426"/>
      <c r="J395" s="422"/>
      <c r="K395" s="226"/>
      <c r="L395" s="426"/>
      <c r="M395" s="422"/>
      <c r="N395" s="226"/>
      <c r="O395" s="426"/>
      <c r="P395" s="422"/>
      <c r="Q395" s="226"/>
      <c r="R395" s="426"/>
      <c r="S395" s="428" t="s">
        <v>213</v>
      </c>
      <c r="T395" s="422"/>
      <c r="U395" s="426"/>
      <c r="V395" s="428" t="s">
        <v>213</v>
      </c>
      <c r="W395" s="413"/>
      <c r="X395" s="431" t="s">
        <v>213</v>
      </c>
      <c r="Y395" s="30"/>
      <c r="Z395" s="30"/>
    </row>
    <row r="396" spans="2:26" ht="12.75" customHeight="1" x14ac:dyDescent="0.3">
      <c r="B396" s="159" t="s">
        <v>0</v>
      </c>
      <c r="C396" s="524" t="s">
        <v>166</v>
      </c>
      <c r="D396" s="525"/>
      <c r="E396" s="526"/>
      <c r="F396" s="421" t="s">
        <v>531</v>
      </c>
      <c r="G396" s="421"/>
      <c r="H396" s="260"/>
      <c r="I396" s="258" t="s">
        <v>524</v>
      </c>
      <c r="J396" s="421"/>
      <c r="K396" s="260"/>
      <c r="L396" s="258" t="s">
        <v>532</v>
      </c>
      <c r="M396" s="421"/>
      <c r="N396" s="260"/>
      <c r="O396" s="258" t="s">
        <v>526</v>
      </c>
      <c r="P396" s="421"/>
      <c r="Q396" s="260"/>
      <c r="R396" s="258" t="s">
        <v>287</v>
      </c>
      <c r="S396" s="421"/>
      <c r="T396" s="259"/>
      <c r="U396" s="258" t="s">
        <v>527</v>
      </c>
      <c r="V396" s="421"/>
      <c r="W396" s="260"/>
      <c r="X396" s="432" t="s">
        <v>9</v>
      </c>
      <c r="Y396" s="519" t="s">
        <v>223</v>
      </c>
      <c r="Z396" s="521" t="s">
        <v>4</v>
      </c>
    </row>
    <row r="397" spans="2:26" ht="12.75" customHeight="1" x14ac:dyDescent="0.3">
      <c r="B397" s="163"/>
      <c r="C397" s="417"/>
      <c r="D397" s="423"/>
      <c r="E397" s="219"/>
      <c r="F397" s="425"/>
      <c r="G397" s="423"/>
      <c r="H397" s="221"/>
      <c r="I397" s="427"/>
      <c r="J397" s="423"/>
      <c r="K397" s="221"/>
      <c r="L397" s="427"/>
      <c r="M397" s="423"/>
      <c r="N397" s="221"/>
      <c r="O397" s="427"/>
      <c r="P397" s="423"/>
      <c r="Q397" s="221"/>
      <c r="R397" s="427"/>
      <c r="S397" s="429"/>
      <c r="T397" s="423"/>
      <c r="U397" s="433"/>
      <c r="V397" s="434" t="s">
        <v>213</v>
      </c>
      <c r="W397" s="435"/>
      <c r="X397" s="256"/>
      <c r="Y397" s="520"/>
      <c r="Z397" s="522"/>
    </row>
    <row r="398" spans="2:26" ht="12.75" customHeight="1" x14ac:dyDescent="0.3">
      <c r="B398" s="133">
        <v>1</v>
      </c>
      <c r="C398" s="237" t="s">
        <v>596</v>
      </c>
      <c r="D398" s="474"/>
      <c r="E398" s="238"/>
      <c r="F398" s="317"/>
      <c r="G398" s="418">
        <v>20</v>
      </c>
      <c r="H398" s="419"/>
      <c r="I398" s="317"/>
      <c r="J398" s="418">
        <v>20</v>
      </c>
      <c r="K398" s="419"/>
      <c r="L398" s="317"/>
      <c r="M398" s="418">
        <v>20</v>
      </c>
      <c r="N398" s="419"/>
      <c r="O398" s="317"/>
      <c r="P398" s="418"/>
      <c r="Q398" s="419"/>
      <c r="R398" s="419"/>
      <c r="S398" s="418"/>
      <c r="T398" s="419"/>
      <c r="U398" s="419"/>
      <c r="V398" s="418"/>
      <c r="W398" s="462"/>
      <c r="X398" s="420">
        <f t="shared" ref="X398:X402" si="62">SUM(F398:W398)</f>
        <v>60</v>
      </c>
      <c r="Y398" s="140" t="str">
        <f t="shared" ref="Y398:Y402" si="63">IF(Z398&gt;=3,"Sí","No")</f>
        <v>Sí</v>
      </c>
      <c r="Z398" s="141">
        <f t="shared" ref="Z398:Z402" si="64">COUNTA(G398,J398,M398,P398,S398,V398)</f>
        <v>3</v>
      </c>
    </row>
    <row r="399" spans="2:26" ht="12.75" customHeight="1" x14ac:dyDescent="0.3">
      <c r="B399" s="133">
        <v>2</v>
      </c>
      <c r="C399" s="237" t="s">
        <v>608</v>
      </c>
      <c r="D399" s="474"/>
      <c r="E399" s="238"/>
      <c r="F399" s="317"/>
      <c r="G399" s="418">
        <v>14</v>
      </c>
      <c r="H399" s="419"/>
      <c r="I399" s="317"/>
      <c r="J399" s="418">
        <v>14</v>
      </c>
      <c r="K399" s="419"/>
      <c r="L399" s="317"/>
      <c r="M399" s="418">
        <v>14</v>
      </c>
      <c r="N399" s="419"/>
      <c r="O399" s="317"/>
      <c r="P399" s="418"/>
      <c r="Q399" s="419"/>
      <c r="R399" s="419"/>
      <c r="S399" s="418"/>
      <c r="T399" s="419"/>
      <c r="U399" s="419"/>
      <c r="V399" s="418"/>
      <c r="W399" s="462"/>
      <c r="X399" s="420">
        <f t="shared" si="62"/>
        <v>42</v>
      </c>
      <c r="Y399" s="140" t="str">
        <f t="shared" si="63"/>
        <v>Sí</v>
      </c>
      <c r="Z399" s="141">
        <f t="shared" si="64"/>
        <v>3</v>
      </c>
    </row>
    <row r="400" spans="2:26" ht="12.75" customHeight="1" x14ac:dyDescent="0.3">
      <c r="B400" s="133">
        <v>3</v>
      </c>
      <c r="C400" s="237" t="s">
        <v>212</v>
      </c>
      <c r="D400" s="474"/>
      <c r="E400" s="238"/>
      <c r="F400" s="317"/>
      <c r="G400" s="418">
        <v>16</v>
      </c>
      <c r="H400" s="419"/>
      <c r="I400" s="317"/>
      <c r="J400" s="418" t="s">
        <v>658</v>
      </c>
      <c r="K400" s="419"/>
      <c r="L400" s="317"/>
      <c r="M400" s="418" t="s">
        <v>658</v>
      </c>
      <c r="N400" s="419"/>
      <c r="O400" s="317"/>
      <c r="P400" s="418"/>
      <c r="Q400" s="419"/>
      <c r="R400" s="419"/>
      <c r="S400" s="418"/>
      <c r="T400" s="419"/>
      <c r="U400" s="419"/>
      <c r="V400" s="418"/>
      <c r="W400" s="462"/>
      <c r="X400" s="420">
        <f t="shared" si="62"/>
        <v>16</v>
      </c>
      <c r="Y400" s="140" t="str">
        <f t="shared" si="63"/>
        <v>Sí</v>
      </c>
      <c r="Z400" s="141">
        <f t="shared" si="64"/>
        <v>3</v>
      </c>
    </row>
    <row r="401" spans="2:26" ht="12.75" customHeight="1" x14ac:dyDescent="0.3">
      <c r="B401" s="133">
        <v>3</v>
      </c>
      <c r="C401" s="237" t="s">
        <v>633</v>
      </c>
      <c r="D401" s="474"/>
      <c r="E401" s="238"/>
      <c r="F401" s="317"/>
      <c r="G401" s="418">
        <v>0</v>
      </c>
      <c r="H401" s="419"/>
      <c r="I401" s="317"/>
      <c r="J401" s="418" t="s">
        <v>658</v>
      </c>
      <c r="K401" s="419"/>
      <c r="L401" s="317"/>
      <c r="M401" s="418">
        <v>16</v>
      </c>
      <c r="N401" s="419"/>
      <c r="O401" s="317"/>
      <c r="P401" s="418"/>
      <c r="Q401" s="419"/>
      <c r="R401" s="419"/>
      <c r="S401" s="418"/>
      <c r="T401" s="419"/>
      <c r="U401" s="419"/>
      <c r="V401" s="418"/>
      <c r="W401" s="462"/>
      <c r="X401" s="420">
        <f t="shared" si="62"/>
        <v>16</v>
      </c>
      <c r="Y401" s="140" t="str">
        <f t="shared" si="63"/>
        <v>Sí</v>
      </c>
      <c r="Z401" s="141">
        <f t="shared" si="64"/>
        <v>3</v>
      </c>
    </row>
    <row r="402" spans="2:26" ht="12.75" customHeight="1" x14ac:dyDescent="0.3">
      <c r="B402" s="133">
        <v>3</v>
      </c>
      <c r="C402" s="237" t="s">
        <v>673</v>
      </c>
      <c r="D402" s="474"/>
      <c r="E402" s="238"/>
      <c r="F402" s="317"/>
      <c r="G402" s="418" t="s">
        <v>658</v>
      </c>
      <c r="H402" s="419"/>
      <c r="I402" s="317"/>
      <c r="J402" s="418">
        <v>16</v>
      </c>
      <c r="K402" s="419"/>
      <c r="L402" s="317"/>
      <c r="M402" s="418" t="s">
        <v>658</v>
      </c>
      <c r="N402" s="419"/>
      <c r="O402" s="317"/>
      <c r="P402" s="418"/>
      <c r="Q402" s="419"/>
      <c r="R402" s="419"/>
      <c r="S402" s="418"/>
      <c r="T402" s="419"/>
      <c r="U402" s="419"/>
      <c r="V402" s="418"/>
      <c r="W402" s="462"/>
      <c r="X402" s="420">
        <f t="shared" si="62"/>
        <v>16</v>
      </c>
      <c r="Y402" s="140" t="str">
        <f t="shared" si="63"/>
        <v>Sí</v>
      </c>
      <c r="Z402" s="141">
        <f t="shared" si="64"/>
        <v>3</v>
      </c>
    </row>
    <row r="404" spans="2:26" x14ac:dyDescent="0.3">
      <c r="T404" s="4"/>
      <c r="U404" s="4"/>
      <c r="V404" s="4"/>
      <c r="W404" s="4"/>
      <c r="X404" s="4"/>
    </row>
    <row r="407" spans="2:26" ht="39" customHeight="1" x14ac:dyDescent="0.55000000000000004">
      <c r="B407" s="527" t="s">
        <v>555</v>
      </c>
      <c r="C407" s="527"/>
      <c r="D407" s="527"/>
      <c r="E407" s="527"/>
      <c r="F407" s="527"/>
      <c r="G407" s="527"/>
      <c r="H407" s="527"/>
      <c r="I407" s="527"/>
      <c r="J407" s="527"/>
      <c r="K407" s="527"/>
      <c r="L407" s="527"/>
      <c r="M407" s="527"/>
      <c r="N407" s="527"/>
      <c r="O407" s="527"/>
      <c r="P407" s="527"/>
      <c r="Q407" s="527"/>
      <c r="R407" s="527"/>
      <c r="S407" s="527"/>
      <c r="T407" s="527"/>
      <c r="U407" s="527"/>
      <c r="V407" s="527"/>
      <c r="W407" s="4"/>
      <c r="X407" s="4"/>
      <c r="Y407" s="130" t="s">
        <v>657</v>
      </c>
    </row>
    <row r="408" spans="2:26" ht="37.5" customHeight="1" x14ac:dyDescent="0.3">
      <c r="B408" s="523" t="s">
        <v>224</v>
      </c>
      <c r="C408" s="523"/>
      <c r="D408" s="523"/>
      <c r="E408" s="523"/>
      <c r="F408" s="523"/>
      <c r="G408" s="523"/>
      <c r="H408" s="523"/>
      <c r="I408" s="523"/>
      <c r="J408" s="523"/>
      <c r="K408" s="523"/>
      <c r="L408" s="523"/>
      <c r="M408" s="523"/>
      <c r="N408" s="523"/>
      <c r="O408" s="523"/>
      <c r="P408" s="523"/>
      <c r="Q408" s="523"/>
      <c r="R408" s="523"/>
      <c r="S408" s="523"/>
      <c r="T408" s="523"/>
      <c r="U408" s="523"/>
      <c r="V408" s="523"/>
      <c r="W408" s="4"/>
      <c r="X408" s="4"/>
      <c r="Y408" s="30"/>
      <c r="Z408" s="30"/>
    </row>
    <row r="409" spans="2:26" ht="12.75" customHeight="1" x14ac:dyDescent="0.3">
      <c r="B409" s="430"/>
      <c r="C409" s="416"/>
      <c r="D409" s="422"/>
      <c r="E409" s="224"/>
      <c r="F409" s="424"/>
      <c r="G409" s="422"/>
      <c r="H409" s="226"/>
      <c r="I409" s="426"/>
      <c r="J409" s="422"/>
      <c r="K409" s="226"/>
      <c r="L409" s="426"/>
      <c r="M409" s="422"/>
      <c r="N409" s="226"/>
      <c r="O409" s="426"/>
      <c r="P409" s="422"/>
      <c r="Q409" s="226"/>
      <c r="R409" s="426"/>
      <c r="S409" s="428" t="s">
        <v>213</v>
      </c>
      <c r="T409" s="422"/>
      <c r="U409" s="426"/>
      <c r="V409" s="428" t="s">
        <v>213</v>
      </c>
      <c r="W409" s="413"/>
      <c r="X409" s="431" t="s">
        <v>213</v>
      </c>
      <c r="Y409" s="30"/>
      <c r="Z409" s="30"/>
    </row>
    <row r="410" spans="2:26" ht="12.75" customHeight="1" x14ac:dyDescent="0.3">
      <c r="B410" s="159" t="s">
        <v>0</v>
      </c>
      <c r="C410" s="524" t="s">
        <v>1</v>
      </c>
      <c r="D410" s="525"/>
      <c r="E410" s="526"/>
      <c r="F410" s="421" t="s">
        <v>531</v>
      </c>
      <c r="G410" s="421"/>
      <c r="H410" s="260"/>
      <c r="I410" s="258" t="s">
        <v>524</v>
      </c>
      <c r="J410" s="421"/>
      <c r="K410" s="260"/>
      <c r="L410" s="258" t="s">
        <v>532</v>
      </c>
      <c r="M410" s="421"/>
      <c r="N410" s="260"/>
      <c r="O410" s="258" t="s">
        <v>526</v>
      </c>
      <c r="P410" s="421"/>
      <c r="Q410" s="260"/>
      <c r="R410" s="258" t="s">
        <v>287</v>
      </c>
      <c r="S410" s="421"/>
      <c r="T410" s="259"/>
      <c r="U410" s="258" t="s">
        <v>527</v>
      </c>
      <c r="V410" s="421"/>
      <c r="W410" s="260"/>
      <c r="X410" s="432" t="s">
        <v>9</v>
      </c>
      <c r="Y410" s="519" t="s">
        <v>223</v>
      </c>
      <c r="Z410" s="521" t="s">
        <v>4</v>
      </c>
    </row>
    <row r="411" spans="2:26" ht="12.75" customHeight="1" x14ac:dyDescent="0.3">
      <c r="B411" s="163"/>
      <c r="C411" s="417"/>
      <c r="D411" s="423"/>
      <c r="E411" s="219"/>
      <c r="F411" s="425"/>
      <c r="G411" s="423"/>
      <c r="H411" s="221"/>
      <c r="I411" s="427"/>
      <c r="J411" s="423"/>
      <c r="K411" s="221"/>
      <c r="L411" s="427"/>
      <c r="M411" s="423"/>
      <c r="N411" s="221"/>
      <c r="O411" s="427"/>
      <c r="P411" s="423"/>
      <c r="Q411" s="221"/>
      <c r="R411" s="427"/>
      <c r="S411" s="429"/>
      <c r="T411" s="423"/>
      <c r="U411" s="433"/>
      <c r="V411" s="434" t="s">
        <v>213</v>
      </c>
      <c r="W411" s="435"/>
      <c r="X411" s="256"/>
      <c r="Y411" s="520"/>
      <c r="Z411" s="522"/>
    </row>
    <row r="412" spans="2:26" ht="12.75" customHeight="1" x14ac:dyDescent="0.3">
      <c r="B412" s="133">
        <v>1</v>
      </c>
      <c r="C412" s="507" t="s">
        <v>332</v>
      </c>
      <c r="D412" s="496"/>
      <c r="E412" s="497"/>
      <c r="F412" s="317"/>
      <c r="G412" s="418">
        <v>16</v>
      </c>
      <c r="H412" s="419"/>
      <c r="I412" s="317"/>
      <c r="J412" s="418">
        <v>16</v>
      </c>
      <c r="K412" s="419"/>
      <c r="L412" s="317"/>
      <c r="M412" s="418">
        <v>16</v>
      </c>
      <c r="N412" s="419"/>
      <c r="O412" s="317"/>
      <c r="P412" s="418"/>
      <c r="Q412" s="419"/>
      <c r="R412" s="419"/>
      <c r="S412" s="418"/>
      <c r="T412" s="419"/>
      <c r="U412" s="419"/>
      <c r="V412" s="418"/>
      <c r="W412" s="419"/>
      <c r="X412" s="420">
        <f t="shared" ref="X412:X417" si="65">SUM(F412:W412)</f>
        <v>48</v>
      </c>
      <c r="Y412" s="140" t="str">
        <f t="shared" ref="Y412:Y417" si="66">IF(Z412&gt;=3,"Sí","No")</f>
        <v>Sí</v>
      </c>
      <c r="Z412" s="141">
        <f t="shared" ref="Z412:Z417" si="67">COUNTA(G412,J412,M412,P412,S412,V412)</f>
        <v>3</v>
      </c>
    </row>
    <row r="413" spans="2:26" ht="12.75" customHeight="1" x14ac:dyDescent="0.3">
      <c r="B413" s="133">
        <v>2</v>
      </c>
      <c r="C413" s="507" t="s">
        <v>624</v>
      </c>
      <c r="D413" s="496"/>
      <c r="E413" s="497"/>
      <c r="F413" s="317"/>
      <c r="G413" s="418">
        <v>12</v>
      </c>
      <c r="H413" s="419"/>
      <c r="I413" s="317"/>
      <c r="J413" s="418">
        <v>14</v>
      </c>
      <c r="K413" s="419"/>
      <c r="L413" s="317"/>
      <c r="M413" s="418">
        <v>20</v>
      </c>
      <c r="N413" s="419"/>
      <c r="O413" s="317"/>
      <c r="P413" s="418"/>
      <c r="Q413" s="419"/>
      <c r="R413" s="419"/>
      <c r="S413" s="418"/>
      <c r="T413" s="419"/>
      <c r="U413" s="419"/>
      <c r="V413" s="418"/>
      <c r="W413" s="419"/>
      <c r="X413" s="420">
        <f t="shared" si="65"/>
        <v>46</v>
      </c>
      <c r="Y413" s="140" t="str">
        <f t="shared" si="66"/>
        <v>Sí</v>
      </c>
      <c r="Z413" s="141">
        <f t="shared" si="67"/>
        <v>3</v>
      </c>
    </row>
    <row r="414" spans="2:26" ht="12.75" customHeight="1" x14ac:dyDescent="0.3">
      <c r="B414" s="133">
        <v>3</v>
      </c>
      <c r="C414" s="507" t="s">
        <v>283</v>
      </c>
      <c r="D414" s="496"/>
      <c r="E414" s="497"/>
      <c r="F414" s="317"/>
      <c r="G414" s="418">
        <v>20</v>
      </c>
      <c r="H414" s="419"/>
      <c r="I414" s="317"/>
      <c r="J414" s="418">
        <v>20</v>
      </c>
      <c r="K414" s="419"/>
      <c r="L414" s="317"/>
      <c r="M414" s="418" t="s">
        <v>658</v>
      </c>
      <c r="N414" s="419"/>
      <c r="O414" s="317"/>
      <c r="P414" s="418"/>
      <c r="Q414" s="419"/>
      <c r="R414" s="419"/>
      <c r="S414" s="418"/>
      <c r="T414" s="419"/>
      <c r="U414" s="419"/>
      <c r="V414" s="418"/>
      <c r="W414" s="419"/>
      <c r="X414" s="420">
        <f t="shared" si="65"/>
        <v>40</v>
      </c>
      <c r="Y414" s="140" t="str">
        <f t="shared" si="66"/>
        <v>Sí</v>
      </c>
      <c r="Z414" s="141">
        <f t="shared" si="67"/>
        <v>3</v>
      </c>
    </row>
    <row r="415" spans="2:26" ht="12.75" customHeight="1" x14ac:dyDescent="0.3">
      <c r="B415" s="133">
        <v>4</v>
      </c>
      <c r="C415" s="507" t="s">
        <v>621</v>
      </c>
      <c r="D415" s="496"/>
      <c r="E415" s="497"/>
      <c r="F415" s="317"/>
      <c r="G415" s="418">
        <v>14</v>
      </c>
      <c r="H415" s="419"/>
      <c r="I415" s="317"/>
      <c r="J415" s="418">
        <v>12</v>
      </c>
      <c r="K415" s="419"/>
      <c r="L415" s="317"/>
      <c r="M415" s="418" t="s">
        <v>658</v>
      </c>
      <c r="N415" s="419"/>
      <c r="O415" s="317"/>
      <c r="P415" s="418"/>
      <c r="Q415" s="419"/>
      <c r="R415" s="419"/>
      <c r="S415" s="418"/>
      <c r="T415" s="419"/>
      <c r="U415" s="419"/>
      <c r="V415" s="418"/>
      <c r="W415" s="419"/>
      <c r="X415" s="420">
        <f t="shared" si="65"/>
        <v>26</v>
      </c>
      <c r="Y415" s="140" t="str">
        <f t="shared" si="66"/>
        <v>Sí</v>
      </c>
      <c r="Z415" s="141">
        <f t="shared" si="67"/>
        <v>3</v>
      </c>
    </row>
    <row r="416" spans="2:26" ht="12.75" customHeight="1" x14ac:dyDescent="0.3">
      <c r="B416" s="133">
        <v>5</v>
      </c>
      <c r="C416" s="507" t="s">
        <v>676</v>
      </c>
      <c r="D416" s="496"/>
      <c r="E416" s="497"/>
      <c r="F416" s="317"/>
      <c r="G416" s="418" t="s">
        <v>658</v>
      </c>
      <c r="H416" s="419"/>
      <c r="I416" s="317"/>
      <c r="J416" s="418">
        <v>10</v>
      </c>
      <c r="K416" s="419"/>
      <c r="L416" s="317"/>
      <c r="M416" s="418">
        <v>14</v>
      </c>
      <c r="N416" s="419"/>
      <c r="O416" s="317"/>
      <c r="P416" s="418"/>
      <c r="Q416" s="419"/>
      <c r="R416" s="419"/>
      <c r="S416" s="418"/>
      <c r="T416" s="419"/>
      <c r="U416" s="419"/>
      <c r="V416" s="418"/>
      <c r="W416" s="419"/>
      <c r="X416" s="420">
        <f t="shared" si="65"/>
        <v>24</v>
      </c>
      <c r="Y416" s="140" t="str">
        <f t="shared" si="66"/>
        <v>Sí</v>
      </c>
      <c r="Z416" s="141">
        <f t="shared" si="67"/>
        <v>3</v>
      </c>
    </row>
    <row r="417" spans="2:26" ht="12.75" customHeight="1" x14ac:dyDescent="0.3">
      <c r="B417" s="133" t="s">
        <v>658</v>
      </c>
      <c r="C417" s="507" t="s">
        <v>637</v>
      </c>
      <c r="D417" s="496"/>
      <c r="E417" s="497"/>
      <c r="F417" s="317"/>
      <c r="G417" s="418">
        <v>0</v>
      </c>
      <c r="H417" s="419"/>
      <c r="I417" s="317"/>
      <c r="J417" s="418" t="s">
        <v>658</v>
      </c>
      <c r="K417" s="419"/>
      <c r="L417" s="317"/>
      <c r="M417" s="418" t="s">
        <v>658</v>
      </c>
      <c r="N417" s="419"/>
      <c r="O417" s="317"/>
      <c r="P417" s="418"/>
      <c r="Q417" s="419"/>
      <c r="R417" s="419"/>
      <c r="S417" s="418"/>
      <c r="T417" s="419"/>
      <c r="U417" s="419"/>
      <c r="V417" s="418"/>
      <c r="W417" s="419"/>
      <c r="X417" s="420">
        <f t="shared" si="65"/>
        <v>0</v>
      </c>
      <c r="Y417" s="140" t="str">
        <f t="shared" si="66"/>
        <v>Sí</v>
      </c>
      <c r="Z417" s="141">
        <f t="shared" si="67"/>
        <v>3</v>
      </c>
    </row>
    <row r="418" spans="2:26" ht="12.75" customHeight="1" x14ac:dyDescent="0.3">
      <c r="B418" s="152"/>
      <c r="C418" s="155"/>
      <c r="D418" s="155"/>
      <c r="E418" s="155"/>
      <c r="F418" s="155"/>
      <c r="G418" s="154"/>
      <c r="H418" s="155"/>
      <c r="I418" s="155"/>
      <c r="J418" s="154"/>
      <c r="K418" s="155"/>
      <c r="L418" s="155"/>
      <c r="M418" s="154"/>
      <c r="N418" s="155"/>
      <c r="O418" s="155"/>
      <c r="P418" s="154"/>
      <c r="Q418" s="155"/>
      <c r="R418" s="155"/>
      <c r="S418" s="154"/>
      <c r="T418" s="155"/>
      <c r="U418" s="155"/>
      <c r="V418" s="154"/>
      <c r="W418" s="155"/>
      <c r="X418" s="154"/>
      <c r="Y418" s="240"/>
      <c r="Z418" s="127"/>
    </row>
    <row r="419" spans="2:26" ht="39" customHeight="1" x14ac:dyDescent="0.55000000000000004">
      <c r="B419" s="527" t="s">
        <v>555</v>
      </c>
      <c r="C419" s="527"/>
      <c r="D419" s="527"/>
      <c r="E419" s="527"/>
      <c r="F419" s="527"/>
      <c r="G419" s="527"/>
      <c r="H419" s="527"/>
      <c r="I419" s="527"/>
      <c r="J419" s="527"/>
      <c r="K419" s="527"/>
      <c r="L419" s="527"/>
      <c r="M419" s="527"/>
      <c r="N419" s="527"/>
      <c r="O419" s="527"/>
      <c r="P419" s="527"/>
      <c r="Q419" s="527"/>
      <c r="R419" s="527"/>
      <c r="S419" s="527"/>
      <c r="T419" s="527"/>
      <c r="U419" s="527"/>
      <c r="V419" s="527"/>
      <c r="W419" s="4"/>
      <c r="X419" s="4"/>
    </row>
    <row r="420" spans="2:26" ht="37.5" customHeight="1" x14ac:dyDescent="0.3">
      <c r="B420" s="523" t="s">
        <v>338</v>
      </c>
      <c r="C420" s="523"/>
      <c r="D420" s="523"/>
      <c r="E420" s="523"/>
      <c r="F420" s="523"/>
      <c r="G420" s="523"/>
      <c r="H420" s="523"/>
      <c r="I420" s="523"/>
      <c r="J420" s="523"/>
      <c r="K420" s="523"/>
      <c r="L420" s="523"/>
      <c r="M420" s="523"/>
      <c r="N420" s="523"/>
      <c r="O420" s="523"/>
      <c r="P420" s="523"/>
      <c r="Q420" s="523"/>
      <c r="R420" s="523"/>
      <c r="S420" s="523"/>
      <c r="T420" s="523"/>
      <c r="U420" s="523"/>
      <c r="V420" s="523"/>
      <c r="W420" s="4"/>
      <c r="X420" s="4"/>
      <c r="Y420" s="30"/>
      <c r="Z420" s="30"/>
    </row>
    <row r="421" spans="2:26" ht="12.75" customHeight="1" x14ac:dyDescent="0.3">
      <c r="B421" s="430"/>
      <c r="C421" s="416"/>
      <c r="D421" s="422"/>
      <c r="E421" s="224"/>
      <c r="F421" s="424"/>
      <c r="G421" s="422"/>
      <c r="H421" s="226"/>
      <c r="I421" s="426"/>
      <c r="J421" s="422"/>
      <c r="K421" s="226"/>
      <c r="L421" s="426"/>
      <c r="M421" s="422"/>
      <c r="N421" s="226"/>
      <c r="O421" s="426"/>
      <c r="P421" s="422"/>
      <c r="Q421" s="226"/>
      <c r="R421" s="426"/>
      <c r="S421" s="428" t="s">
        <v>213</v>
      </c>
      <c r="T421" s="422"/>
      <c r="U421" s="426"/>
      <c r="V421" s="428" t="s">
        <v>213</v>
      </c>
      <c r="W421" s="413"/>
      <c r="X421" s="431" t="s">
        <v>213</v>
      </c>
      <c r="Y421" s="30"/>
      <c r="Z421" s="30"/>
    </row>
    <row r="422" spans="2:26" ht="12.75" customHeight="1" x14ac:dyDescent="0.3">
      <c r="B422" s="159" t="s">
        <v>0</v>
      </c>
      <c r="C422" s="524" t="s">
        <v>166</v>
      </c>
      <c r="D422" s="525"/>
      <c r="E422" s="526"/>
      <c r="F422" s="421" t="s">
        <v>531</v>
      </c>
      <c r="G422" s="421"/>
      <c r="H422" s="260"/>
      <c r="I422" s="258" t="s">
        <v>524</v>
      </c>
      <c r="J422" s="421"/>
      <c r="K422" s="260"/>
      <c r="L422" s="258" t="s">
        <v>532</v>
      </c>
      <c r="M422" s="421"/>
      <c r="N422" s="260"/>
      <c r="O422" s="258" t="s">
        <v>526</v>
      </c>
      <c r="P422" s="421"/>
      <c r="Q422" s="260"/>
      <c r="R422" s="258" t="s">
        <v>287</v>
      </c>
      <c r="S422" s="421"/>
      <c r="T422" s="259"/>
      <c r="U422" s="258" t="s">
        <v>527</v>
      </c>
      <c r="V422" s="421"/>
      <c r="W422" s="260"/>
      <c r="X422" s="432" t="s">
        <v>9</v>
      </c>
      <c r="Y422" s="519" t="s">
        <v>223</v>
      </c>
      <c r="Z422" s="521" t="s">
        <v>4</v>
      </c>
    </row>
    <row r="423" spans="2:26" ht="12.75" customHeight="1" x14ac:dyDescent="0.3">
      <c r="B423" s="163"/>
      <c r="C423" s="417"/>
      <c r="D423" s="423"/>
      <c r="E423" s="219"/>
      <c r="F423" s="425"/>
      <c r="G423" s="423"/>
      <c r="H423" s="221"/>
      <c r="I423" s="427"/>
      <c r="J423" s="423"/>
      <c r="K423" s="221"/>
      <c r="L423" s="427"/>
      <c r="M423" s="423"/>
      <c r="N423" s="221"/>
      <c r="O423" s="427"/>
      <c r="P423" s="423"/>
      <c r="Q423" s="221"/>
      <c r="R423" s="427"/>
      <c r="S423" s="429"/>
      <c r="T423" s="423"/>
      <c r="U423" s="433"/>
      <c r="V423" s="434" t="s">
        <v>213</v>
      </c>
      <c r="W423" s="435"/>
      <c r="X423" s="256"/>
      <c r="Y423" s="520"/>
      <c r="Z423" s="522"/>
    </row>
    <row r="424" spans="2:26" ht="12.75" customHeight="1" x14ac:dyDescent="0.3">
      <c r="B424" s="133">
        <v>1</v>
      </c>
      <c r="C424" s="507" t="s">
        <v>456</v>
      </c>
      <c r="D424" s="496"/>
      <c r="E424" s="497"/>
      <c r="F424" s="317"/>
      <c r="G424" s="418">
        <v>16</v>
      </c>
      <c r="H424" s="419"/>
      <c r="I424" s="317"/>
      <c r="J424" s="418">
        <v>16</v>
      </c>
      <c r="K424" s="419"/>
      <c r="L424" s="317"/>
      <c r="M424" s="418">
        <v>16</v>
      </c>
      <c r="N424" s="419"/>
      <c r="O424" s="317"/>
      <c r="P424" s="418"/>
      <c r="Q424" s="419"/>
      <c r="R424" s="419"/>
      <c r="S424" s="418"/>
      <c r="T424" s="419"/>
      <c r="U424" s="419"/>
      <c r="V424" s="418"/>
      <c r="W424" s="419"/>
      <c r="X424" s="420">
        <f>G424+J424+M424+P424+S424+V424</f>
        <v>48</v>
      </c>
      <c r="Y424" s="140" t="str">
        <f>IF(Z424&gt;=3,"Sí","No")</f>
        <v>Sí</v>
      </c>
      <c r="Z424" s="141">
        <f>COUNTA(G424,J424,M424,P424,S424,V424)</f>
        <v>3</v>
      </c>
    </row>
    <row r="425" spans="2:26" ht="12.75" customHeight="1" x14ac:dyDescent="0.3">
      <c r="B425" s="133">
        <v>2</v>
      </c>
      <c r="C425" s="507" t="s">
        <v>622</v>
      </c>
      <c r="D425" s="496"/>
      <c r="E425" s="497"/>
      <c r="F425" s="317"/>
      <c r="G425" s="418">
        <v>14</v>
      </c>
      <c r="H425" s="419"/>
      <c r="I425" s="317"/>
      <c r="J425" s="418">
        <v>12</v>
      </c>
      <c r="K425" s="419"/>
      <c r="L425" s="317"/>
      <c r="M425" s="418" t="s">
        <v>658</v>
      </c>
      <c r="N425" s="419"/>
      <c r="O425" s="317"/>
      <c r="P425" s="418"/>
      <c r="Q425" s="419"/>
      <c r="R425" s="419"/>
      <c r="S425" s="418"/>
      <c r="T425" s="419"/>
      <c r="U425" s="419"/>
      <c r="V425" s="418"/>
      <c r="W425" s="419"/>
      <c r="X425" s="420">
        <f>SUM(G425:W425)</f>
        <v>26</v>
      </c>
      <c r="Y425" s="140" t="str">
        <f>IF(Z425&gt;=3,"Sí","No")</f>
        <v>Sí</v>
      </c>
      <c r="Z425" s="141">
        <f>COUNTA(G425,J425,M425,P425,S425,V425)</f>
        <v>3</v>
      </c>
    </row>
    <row r="426" spans="2:26" ht="12.75" customHeight="1" x14ac:dyDescent="0.3">
      <c r="B426" s="133">
        <v>2</v>
      </c>
      <c r="C426" s="507" t="s">
        <v>625</v>
      </c>
      <c r="D426" s="496"/>
      <c r="E426" s="497"/>
      <c r="F426" s="317"/>
      <c r="G426" s="418">
        <v>12</v>
      </c>
      <c r="H426" s="419"/>
      <c r="I426" s="317"/>
      <c r="J426" s="418">
        <v>14</v>
      </c>
      <c r="K426" s="419"/>
      <c r="L426" s="317"/>
      <c r="M426" s="418" t="s">
        <v>658</v>
      </c>
      <c r="N426" s="419"/>
      <c r="O426" s="317"/>
      <c r="P426" s="418"/>
      <c r="Q426" s="419"/>
      <c r="R426" s="419"/>
      <c r="S426" s="418"/>
      <c r="T426" s="419"/>
      <c r="U426" s="419"/>
      <c r="V426" s="418"/>
      <c r="W426" s="419"/>
      <c r="X426" s="420">
        <f>SUM(G426:W426)</f>
        <v>26</v>
      </c>
      <c r="Y426" s="140" t="str">
        <f>IF(Z426&gt;=3,"Sí","No")</f>
        <v>Sí</v>
      </c>
      <c r="Z426" s="141">
        <f>COUNTA(G426,J426,M426,P426,S426,V426)</f>
        <v>3</v>
      </c>
    </row>
    <row r="427" spans="2:26" ht="12.75" customHeight="1" x14ac:dyDescent="0.3">
      <c r="B427" s="133">
        <v>4</v>
      </c>
      <c r="C427" s="507" t="s">
        <v>677</v>
      </c>
      <c r="D427" s="496"/>
      <c r="E427" s="497"/>
      <c r="F427" s="317"/>
      <c r="G427" s="418" t="s">
        <v>658</v>
      </c>
      <c r="H427" s="419"/>
      <c r="I427" s="317"/>
      <c r="J427" s="418">
        <v>10</v>
      </c>
      <c r="K427" s="419"/>
      <c r="L427" s="317"/>
      <c r="M427" s="418">
        <v>14</v>
      </c>
      <c r="N427" s="419"/>
      <c r="O427" s="317"/>
      <c r="P427" s="418"/>
      <c r="Q427" s="419"/>
      <c r="R427" s="419"/>
      <c r="S427" s="418"/>
      <c r="T427" s="419"/>
      <c r="U427" s="419"/>
      <c r="V427" s="418"/>
      <c r="W427" s="419"/>
      <c r="X427" s="420">
        <f>SUM(G427:W427)</f>
        <v>24</v>
      </c>
      <c r="Y427" s="140" t="str">
        <f>IF(Z427&gt;=3,"Sí","No")</f>
        <v>Sí</v>
      </c>
      <c r="Z427" s="141">
        <f>COUNTA(G427,J427,M427,P427,S427,V427)</f>
        <v>3</v>
      </c>
    </row>
    <row r="428" spans="2:26" ht="12.75" customHeight="1" x14ac:dyDescent="0.3">
      <c r="B428" s="133">
        <v>5</v>
      </c>
      <c r="C428" s="507" t="s">
        <v>599</v>
      </c>
      <c r="D428" s="496"/>
      <c r="E428" s="497"/>
      <c r="F428" s="317"/>
      <c r="G428" s="418">
        <v>20</v>
      </c>
      <c r="H428" s="419"/>
      <c r="I428" s="317"/>
      <c r="J428" s="418" t="s">
        <v>658</v>
      </c>
      <c r="K428" s="419"/>
      <c r="L428" s="317"/>
      <c r="M428" s="418" t="s">
        <v>658</v>
      </c>
      <c r="N428" s="419"/>
      <c r="O428" s="317"/>
      <c r="P428" s="418"/>
      <c r="Q428" s="419"/>
      <c r="R428" s="419"/>
      <c r="S428" s="418"/>
      <c r="T428" s="419"/>
      <c r="U428" s="419"/>
      <c r="V428" s="418"/>
      <c r="W428" s="419"/>
      <c r="X428" s="420">
        <f>SUM(G428)</f>
        <v>20</v>
      </c>
      <c r="Y428" s="140" t="str">
        <f>IF(Z428&gt;=3,"Sí","No")</f>
        <v>Sí</v>
      </c>
      <c r="Z428" s="141">
        <f>COUNTA(G428,J428,M428,P428,S428,V428)</f>
        <v>3</v>
      </c>
    </row>
    <row r="429" spans="2:26" ht="12.75" customHeight="1" x14ac:dyDescent="0.3">
      <c r="B429" s="133">
        <v>5</v>
      </c>
      <c r="C429" s="507" t="s">
        <v>638</v>
      </c>
      <c r="D429" s="496"/>
      <c r="E429" s="497"/>
      <c r="F429" s="317"/>
      <c r="G429" s="418">
        <v>0</v>
      </c>
      <c r="H429" s="419"/>
      <c r="I429" s="317"/>
      <c r="J429" s="418" t="s">
        <v>658</v>
      </c>
      <c r="K429" s="419"/>
      <c r="L429" s="317"/>
      <c r="M429" s="418">
        <v>20</v>
      </c>
      <c r="N429" s="419"/>
      <c r="O429" s="317"/>
      <c r="P429" s="418"/>
      <c r="Q429" s="419"/>
      <c r="R429" s="419"/>
      <c r="S429" s="418"/>
      <c r="T429" s="419"/>
      <c r="U429" s="419"/>
      <c r="V429" s="418"/>
      <c r="W429" s="419"/>
      <c r="X429" s="420">
        <f>SUM(G429:W429)</f>
        <v>20</v>
      </c>
      <c r="Y429" s="240"/>
      <c r="Z429" s="127"/>
    </row>
    <row r="430" spans="2:26" ht="12.75" customHeight="1" x14ac:dyDescent="0.3">
      <c r="B430" s="133">
        <v>5</v>
      </c>
      <c r="C430" s="507" t="s">
        <v>670</v>
      </c>
      <c r="D430" s="496"/>
      <c r="E430" s="497"/>
      <c r="F430" s="317"/>
      <c r="G430" s="418" t="s">
        <v>658</v>
      </c>
      <c r="H430" s="419"/>
      <c r="I430" s="317"/>
      <c r="J430" s="418">
        <v>20</v>
      </c>
      <c r="K430" s="419"/>
      <c r="L430" s="317"/>
      <c r="M430" s="418" t="s">
        <v>658</v>
      </c>
      <c r="N430" s="419"/>
      <c r="O430" s="317"/>
      <c r="P430" s="418"/>
      <c r="Q430" s="419"/>
      <c r="R430" s="419"/>
      <c r="S430" s="418"/>
      <c r="T430" s="419"/>
      <c r="U430" s="419"/>
      <c r="V430" s="418"/>
      <c r="W430" s="419"/>
      <c r="X430" s="420">
        <f>SUM(G430:W430)</f>
        <v>20</v>
      </c>
      <c r="Y430" s="240"/>
      <c r="Z430" s="127"/>
    </row>
    <row r="434" spans="8:24" ht="13" x14ac:dyDescent="0.3">
      <c r="H434" s="241" t="s">
        <v>708</v>
      </c>
      <c r="I434"/>
    </row>
    <row r="435" spans="8:24" x14ac:dyDescent="0.3">
      <c r="T435" s="4"/>
      <c r="U435" s="4"/>
      <c r="V435" s="4"/>
      <c r="W435" s="4"/>
      <c r="X435" s="4"/>
    </row>
    <row r="438" spans="8:24" x14ac:dyDescent="0.3">
      <c r="T438" s="4"/>
      <c r="U438" s="4"/>
      <c r="V438" s="4"/>
      <c r="W438" s="4"/>
      <c r="X438" s="4"/>
    </row>
    <row r="441" spans="8:24" x14ac:dyDescent="0.3">
      <c r="T441" s="4"/>
      <c r="U441" s="4"/>
      <c r="V441" s="4"/>
      <c r="W441" s="4"/>
      <c r="X441" s="4"/>
    </row>
    <row r="446" spans="8:24" x14ac:dyDescent="0.3">
      <c r="T446" s="4"/>
      <c r="U446" s="4"/>
      <c r="V446" s="4"/>
      <c r="W446" s="4"/>
      <c r="X446" s="4"/>
    </row>
    <row r="449" spans="20:24" x14ac:dyDescent="0.3">
      <c r="T449" s="4"/>
      <c r="U449" s="4"/>
      <c r="V449" s="4"/>
      <c r="W449" s="4"/>
      <c r="X449" s="4"/>
    </row>
    <row r="452" spans="20:24" x14ac:dyDescent="0.3">
      <c r="T452" s="4"/>
      <c r="U452" s="4"/>
      <c r="V452" s="4"/>
      <c r="W452" s="4"/>
      <c r="X452" s="4"/>
    </row>
  </sheetData>
  <autoFilter ref="C369:S369" xr:uid="{646F77C2-9B5F-4850-8025-230CB89969D0}">
    <sortState xmlns:xlrd2="http://schemas.microsoft.com/office/spreadsheetml/2017/richdata2" ref="C370:S379">
      <sortCondition descending="1" ref="S369"/>
    </sortState>
  </autoFilter>
  <sortState xmlns:xlrd2="http://schemas.microsoft.com/office/spreadsheetml/2017/richdata2" ref="B6:X46">
    <sortCondition descending="1" ref="X6:X46"/>
  </sortState>
  <mergeCells count="70">
    <mergeCell ref="B420:V420"/>
    <mergeCell ref="C422:E422"/>
    <mergeCell ref="Y422:Y423"/>
    <mergeCell ref="Z422:Z423"/>
    <mergeCell ref="B419:V419"/>
    <mergeCell ref="B407:V407"/>
    <mergeCell ref="B408:V408"/>
    <mergeCell ref="C410:E410"/>
    <mergeCell ref="Y410:Y411"/>
    <mergeCell ref="Z410:Z411"/>
    <mergeCell ref="Z385:Z386"/>
    <mergeCell ref="B393:V393"/>
    <mergeCell ref="B394:V394"/>
    <mergeCell ref="C396:E396"/>
    <mergeCell ref="Y396:Y397"/>
    <mergeCell ref="Z396:Z397"/>
    <mergeCell ref="B382:V382"/>
    <mergeCell ref="B383:V383"/>
    <mergeCell ref="C385:E385"/>
    <mergeCell ref="Y385:Y386"/>
    <mergeCell ref="C368:E368"/>
    <mergeCell ref="Y368:Y369"/>
    <mergeCell ref="Z368:Z369"/>
    <mergeCell ref="B365:V365"/>
    <mergeCell ref="B366:V366"/>
    <mergeCell ref="B346:V346"/>
    <mergeCell ref="B347:V347"/>
    <mergeCell ref="C349:E349"/>
    <mergeCell ref="Y349:Y350"/>
    <mergeCell ref="Z349:Z350"/>
    <mergeCell ref="B337:V337"/>
    <mergeCell ref="C339:E339"/>
    <mergeCell ref="Y339:Y340"/>
    <mergeCell ref="Z339:Z340"/>
    <mergeCell ref="C341:E341"/>
    <mergeCell ref="C329:E329"/>
    <mergeCell ref="Y329:Y330"/>
    <mergeCell ref="Z329:Z330"/>
    <mergeCell ref="C331:E331"/>
    <mergeCell ref="B336:V336"/>
    <mergeCell ref="B327:V327"/>
    <mergeCell ref="Y270:Y271"/>
    <mergeCell ref="Z270:Z271"/>
    <mergeCell ref="Y284:Y285"/>
    <mergeCell ref="Z284:Z285"/>
    <mergeCell ref="Y299:Y300"/>
    <mergeCell ref="Z299:Z300"/>
    <mergeCell ref="Y309:Y310"/>
    <mergeCell ref="Z309:Z310"/>
    <mergeCell ref="Y319:Y320"/>
    <mergeCell ref="Z319:Z320"/>
    <mergeCell ref="B326:V326"/>
    <mergeCell ref="B227:W227"/>
    <mergeCell ref="B228:W228"/>
    <mergeCell ref="Y245:Y246"/>
    <mergeCell ref="Z245:Z246"/>
    <mergeCell ref="Y257:Y258"/>
    <mergeCell ref="Z257:Z258"/>
    <mergeCell ref="AJ132:AL132"/>
    <mergeCell ref="Y160:Y161"/>
    <mergeCell ref="Z160:Z161"/>
    <mergeCell ref="AJ180:AL180"/>
    <mergeCell ref="B214:W214"/>
    <mergeCell ref="B215:W215"/>
    <mergeCell ref="Y4:Y5"/>
    <mergeCell ref="Z4:Z5"/>
    <mergeCell ref="Y56:Y57"/>
    <mergeCell ref="Z56:Z57"/>
    <mergeCell ref="Y112:Y113"/>
    <mergeCell ref="Z112:Z113"/>
  </mergeCells>
  <conditionalFormatting sqref="D102 X387:X390 X398:X402">
    <cfRule type="containsBlanks" dxfId="144" priority="72">
      <formula>LEN(TRIM(D102))=0</formula>
    </cfRule>
  </conditionalFormatting>
  <conditionalFormatting sqref="D203">
    <cfRule type="containsBlanks" dxfId="143" priority="59">
      <formula>LEN(TRIM(D203))=0</formula>
    </cfRule>
  </conditionalFormatting>
  <conditionalFormatting sqref="D301:U302">
    <cfRule type="containsBlanks" dxfId="142" priority="65">
      <formula>LEN(TRIM(D301))=0</formula>
    </cfRule>
  </conditionalFormatting>
  <conditionalFormatting sqref="D311:U312">
    <cfRule type="containsBlanks" dxfId="141" priority="23">
      <formula>LEN(TRIM(D311))=0</formula>
    </cfRule>
  </conditionalFormatting>
  <conditionalFormatting sqref="D321:U322">
    <cfRule type="containsBlanks" dxfId="140" priority="49">
      <formula>LEN(TRIM(D321))=0</formula>
    </cfRule>
  </conditionalFormatting>
  <conditionalFormatting sqref="D6:X6 D7:N30 O7:X38 D31:M32 N31:N33 I33:M33 D33:H46 I34:N34 N35:N38 I35:M41 N39:X42 L42:M42 I42:K46 L43:X46">
    <cfRule type="containsBlanks" dxfId="139" priority="71">
      <formula>LEN(TRIM(D6))=0</formula>
    </cfRule>
  </conditionalFormatting>
  <conditionalFormatting sqref="D58:X99">
    <cfRule type="containsBlanks" dxfId="138" priority="27">
      <formula>LEN(TRIM(D58))=0</formula>
    </cfRule>
  </conditionalFormatting>
  <conditionalFormatting sqref="D114:X150">
    <cfRule type="containsBlanks" dxfId="137" priority="69">
      <formula>LEN(TRIM(D114))=0</formula>
    </cfRule>
  </conditionalFormatting>
  <conditionalFormatting sqref="D162:X200">
    <cfRule type="containsBlanks" dxfId="136" priority="25">
      <formula>LEN(TRIM(D162))=0</formula>
    </cfRule>
  </conditionalFormatting>
  <conditionalFormatting sqref="D219:X223">
    <cfRule type="containsBlanks" dxfId="135" priority="46">
      <formula>LEN(TRIM(D219))=0</formula>
    </cfRule>
  </conditionalFormatting>
  <conditionalFormatting sqref="D232:X236">
    <cfRule type="containsBlanks" dxfId="134" priority="32">
      <formula>LEN(TRIM(D232))=0</formula>
    </cfRule>
  </conditionalFormatting>
  <conditionalFormatting sqref="D247:X250">
    <cfRule type="containsBlanks" dxfId="133" priority="48">
      <formula>LEN(TRIM(D247))=0</formula>
    </cfRule>
  </conditionalFormatting>
  <conditionalFormatting sqref="D259:X263">
    <cfRule type="containsBlanks" dxfId="132" priority="62">
      <formula>LEN(TRIM(D259))=0</formula>
    </cfRule>
  </conditionalFormatting>
  <conditionalFormatting sqref="D272:X277">
    <cfRule type="containsBlanks" dxfId="131" priority="67">
      <formula>LEN(TRIM(D272))=0</formula>
    </cfRule>
  </conditionalFormatting>
  <conditionalFormatting sqref="D286:X292">
    <cfRule type="containsBlanks" dxfId="130" priority="58">
      <formula>LEN(TRIM(D286))=0</formula>
    </cfRule>
  </conditionalFormatting>
  <conditionalFormatting sqref="F355:H355">
    <cfRule type="containsBlanks" dxfId="129" priority="6">
      <formula>LEN(TRIM(F355))=0</formula>
    </cfRule>
  </conditionalFormatting>
  <conditionalFormatting sqref="F357:H358">
    <cfRule type="containsBlanks" dxfId="128" priority="7">
      <formula>LEN(TRIM(F357))=0</formula>
    </cfRule>
  </conditionalFormatting>
  <conditionalFormatting sqref="F360:H361">
    <cfRule type="containsBlanks" dxfId="127" priority="1">
      <formula>LEN(TRIM(F360))=0</formula>
    </cfRule>
  </conditionalFormatting>
  <conditionalFormatting sqref="F379:H379">
    <cfRule type="containsBlanks" dxfId="126" priority="15">
      <formula>LEN(TRIM(F379))=0</formula>
    </cfRule>
  </conditionalFormatting>
  <conditionalFormatting sqref="G351:G354 G356">
    <cfRule type="containsBlanks" dxfId="125" priority="57">
      <formula>LEN(TRIM(G351))=0</formula>
    </cfRule>
  </conditionalFormatting>
  <conditionalFormatting sqref="G359">
    <cfRule type="containsBlanks" dxfId="124" priority="22">
      <formula>LEN(TRIM(G359))=0</formula>
    </cfRule>
  </conditionalFormatting>
  <conditionalFormatting sqref="I357:K357">
    <cfRule type="containsBlanks" dxfId="123" priority="4">
      <formula>LEN(TRIM(I357))=0</formula>
    </cfRule>
  </conditionalFormatting>
  <conditionalFormatting sqref="I359:K359">
    <cfRule type="containsBlanks" dxfId="122" priority="5">
      <formula>LEN(TRIM(I359))=0</formula>
    </cfRule>
  </conditionalFormatting>
  <conditionalFormatting sqref="I373:K373">
    <cfRule type="containsBlanks" dxfId="121" priority="10">
      <formula>LEN(TRIM(I373))=0</formula>
    </cfRule>
  </conditionalFormatting>
  <conditionalFormatting sqref="I377:N378">
    <cfRule type="containsBlanks" dxfId="120" priority="9">
      <formula>LEN(TRIM(I377))=0</formula>
    </cfRule>
  </conditionalFormatting>
  <conditionalFormatting sqref="J351:J356">
    <cfRule type="containsBlanks" dxfId="119" priority="19">
      <formula>LEN(TRIM(J351))=0</formula>
    </cfRule>
  </conditionalFormatting>
  <conditionalFormatting sqref="J358">
    <cfRule type="containsBlanks" dxfId="118" priority="56">
      <formula>LEN(TRIM(J358))=0</formula>
    </cfRule>
  </conditionalFormatting>
  <conditionalFormatting sqref="J360 I361:K361">
    <cfRule type="containsBlanks" dxfId="117" priority="21">
      <formula>LEN(TRIM(I360))=0</formula>
    </cfRule>
  </conditionalFormatting>
  <conditionalFormatting sqref="J370:J372 G370:G378 M375:M376 J379 M379">
    <cfRule type="containsBlanks" dxfId="116" priority="70">
      <formula>LEN(TRIM(G370))=0</formula>
    </cfRule>
  </conditionalFormatting>
  <conditionalFormatting sqref="J374:J376">
    <cfRule type="containsBlanks" dxfId="115" priority="14">
      <formula>LEN(TRIM(J374))=0</formula>
    </cfRule>
  </conditionalFormatting>
  <conditionalFormatting sqref="L354:N354">
    <cfRule type="containsBlanks" dxfId="114" priority="3">
      <formula>LEN(TRIM(L354))=0</formula>
    </cfRule>
  </conditionalFormatting>
  <conditionalFormatting sqref="L358:N359">
    <cfRule type="containsBlanks" dxfId="113" priority="2">
      <formula>LEN(TRIM(L358))=0</formula>
    </cfRule>
  </conditionalFormatting>
  <conditionalFormatting sqref="L374:N374">
    <cfRule type="containsBlanks" dxfId="112" priority="8">
      <formula>LEN(TRIM(L374))=0</formula>
    </cfRule>
  </conditionalFormatting>
  <conditionalFormatting sqref="M351:M353">
    <cfRule type="containsBlanks" dxfId="111" priority="18">
      <formula>LEN(TRIM(M351))=0</formula>
    </cfRule>
  </conditionalFormatting>
  <conditionalFormatting sqref="M355:M357 M360:M361">
    <cfRule type="containsBlanks" dxfId="110" priority="38">
      <formula>LEN(TRIM(M355))=0</formula>
    </cfRule>
  </conditionalFormatting>
  <conditionalFormatting sqref="M370:M373">
    <cfRule type="containsBlanks" dxfId="109" priority="12">
      <formula>LEN(TRIM(M370))=0</formula>
    </cfRule>
  </conditionalFormatting>
  <conditionalFormatting sqref="O370:W379">
    <cfRule type="containsBlanks" dxfId="108" priority="16">
      <formula>LEN(TRIM(O370))=0</formula>
    </cfRule>
  </conditionalFormatting>
  <conditionalFormatting sqref="O351:X361">
    <cfRule type="containsBlanks" dxfId="107" priority="51">
      <formula>LEN(TRIM(O351))=0</formula>
    </cfRule>
  </conditionalFormatting>
  <conditionalFormatting sqref="X331">
    <cfRule type="containsBlanks" dxfId="106" priority="60">
      <formula>LEN(TRIM(X331))=0</formula>
    </cfRule>
  </conditionalFormatting>
  <conditionalFormatting sqref="X341">
    <cfRule type="containsBlanks" dxfId="105" priority="41">
      <formula>LEN(TRIM(X341))=0</formula>
    </cfRule>
  </conditionalFormatting>
  <conditionalFormatting sqref="X412:X417">
    <cfRule type="containsBlanks" dxfId="104" priority="47">
      <formula>LEN(TRIM(X412))=0</formula>
    </cfRule>
  </conditionalFormatting>
  <conditionalFormatting sqref="X424:X430">
    <cfRule type="containsBlanks" dxfId="103" priority="44">
      <formula>LEN(TRIM(X424))=0</formula>
    </cfRule>
  </conditionalFormatting>
  <printOptions horizontalCentered="1"/>
  <pageMargins left="0.27559055118110237" right="0.19685039370078741" top="0.74803149606299213" bottom="0.74803149606299213" header="0.31496062992125984" footer="0.31496062992125984"/>
  <pageSetup paperSize="9" scale="58" fitToHeight="0" orientation="portrait" verticalDpi="4294967293" r:id="rId1"/>
  <rowBreaks count="7" manualBreakCount="7">
    <brk id="52" min="1" max="23" man="1"/>
    <brk id="108" min="1" max="23" man="1"/>
    <brk id="156" min="1" max="23" man="1"/>
    <brk id="213" max="16383" man="1"/>
    <brk id="266" min="1" max="23" man="1"/>
    <brk id="325" min="1" max="23" man="1"/>
    <brk id="381" min="1" max="23" man="1"/>
  </rowBreaks>
  <colBreaks count="1" manualBreakCount="1">
    <brk id="28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8AB8C-3A90-479F-8C09-DC6B922606BA}">
  <dimension ref="B1:AM422"/>
  <sheetViews>
    <sheetView showRuler="0" view="pageBreakPreview" zoomScaleNormal="100" zoomScaleSheetLayoutView="100" workbookViewId="0">
      <selection activeCell="Z198" sqref="Z198"/>
    </sheetView>
  </sheetViews>
  <sheetFormatPr baseColWidth="10" defaultColWidth="12" defaultRowHeight="10.5" x14ac:dyDescent="0.3"/>
  <cols>
    <col min="1" max="1" width="4.296875" style="130" customWidth="1"/>
    <col min="2" max="2" width="4.5" style="130" bestFit="1" customWidth="1"/>
    <col min="3" max="3" width="43.796875" style="130" customWidth="1"/>
    <col min="4" max="4" width="7" style="130" customWidth="1"/>
    <col min="5" max="5" width="5" style="130" customWidth="1"/>
    <col min="6" max="6" width="5.796875" style="130" customWidth="1"/>
    <col min="7" max="7" width="6" style="130" customWidth="1"/>
    <col min="8" max="8" width="5.796875" style="150" customWidth="1"/>
    <col min="9" max="17" width="5.796875" style="130" customWidth="1"/>
    <col min="18" max="18" width="6.296875" style="130" customWidth="1"/>
    <col min="19" max="19" width="6.19921875" style="130" customWidth="1"/>
    <col min="20" max="21" width="6.5" style="130" customWidth="1"/>
    <col min="22" max="22" width="6.296875" style="130" customWidth="1"/>
    <col min="23" max="23" width="6.796875" style="130" customWidth="1"/>
    <col min="24" max="24" width="8.69921875" style="130" customWidth="1"/>
    <col min="25" max="25" width="13" style="130" bestFit="1" customWidth="1"/>
    <col min="26" max="26" width="16" style="130" bestFit="1" customWidth="1"/>
    <col min="27" max="27" width="8.69921875" style="130" customWidth="1"/>
    <col min="28" max="28" width="8.69921875" style="261" customWidth="1"/>
    <col min="29" max="29" width="14.5" style="130" customWidth="1"/>
    <col min="30" max="31" width="8.5" style="130" customWidth="1"/>
    <col min="32" max="40" width="8.796875" style="130" customWidth="1"/>
    <col min="41" max="16384" width="12" style="130"/>
  </cols>
  <sheetData>
    <row r="1" spans="2:28" ht="39" customHeight="1" x14ac:dyDescent="0.55000000000000004">
      <c r="B1" s="164" t="s">
        <v>516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30" t="s">
        <v>561</v>
      </c>
    </row>
    <row r="2" spans="2:28" ht="37.5" customHeight="1" x14ac:dyDescent="0.3">
      <c r="B2" s="166" t="s">
        <v>224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30" t="s">
        <v>562</v>
      </c>
      <c r="Z2" s="30"/>
    </row>
    <row r="3" spans="2:28" ht="12.75" customHeight="1" x14ac:dyDescent="0.3">
      <c r="B3" s="162"/>
      <c r="C3" s="168"/>
      <c r="D3" s="161"/>
      <c r="E3" s="161"/>
      <c r="F3" s="222" t="s">
        <v>220</v>
      </c>
      <c r="G3" s="223"/>
      <c r="H3" s="224"/>
      <c r="I3" s="222" t="s">
        <v>663</v>
      </c>
      <c r="J3" s="225"/>
      <c r="K3" s="226"/>
      <c r="L3" s="222" t="s">
        <v>532</v>
      </c>
      <c r="M3" s="225"/>
      <c r="N3" s="226"/>
      <c r="O3" s="222" t="s">
        <v>526</v>
      </c>
      <c r="P3" s="225"/>
      <c r="Q3" s="226"/>
      <c r="R3" s="222" t="s">
        <v>287</v>
      </c>
      <c r="S3" s="225"/>
      <c r="T3" s="226"/>
      <c r="U3" s="413" t="s">
        <v>527</v>
      </c>
      <c r="V3" s="226"/>
      <c r="W3" s="226"/>
      <c r="X3" s="161" t="s">
        <v>213</v>
      </c>
      <c r="Y3" s="30"/>
      <c r="Z3" s="30"/>
    </row>
    <row r="4" spans="2:28" ht="12.75" customHeight="1" x14ac:dyDescent="0.3">
      <c r="B4" s="159" t="s">
        <v>0</v>
      </c>
      <c r="C4" s="170" t="s">
        <v>1</v>
      </c>
      <c r="D4" s="160" t="s">
        <v>2</v>
      </c>
      <c r="E4" s="160" t="s">
        <v>3</v>
      </c>
      <c r="F4" s="217" t="s">
        <v>523</v>
      </c>
      <c r="G4" s="218"/>
      <c r="H4" s="219"/>
      <c r="I4" s="217" t="s">
        <v>525</v>
      </c>
      <c r="J4" s="220"/>
      <c r="K4" s="221"/>
      <c r="L4" s="217" t="s">
        <v>664</v>
      </c>
      <c r="M4" s="220"/>
      <c r="N4" s="221"/>
      <c r="O4" s="217" t="s">
        <v>529</v>
      </c>
      <c r="P4" s="220"/>
      <c r="Q4" s="221"/>
      <c r="R4" s="217" t="s">
        <v>530</v>
      </c>
      <c r="S4" s="220"/>
      <c r="T4" s="221"/>
      <c r="U4" s="414" t="s">
        <v>528</v>
      </c>
      <c r="V4" s="255"/>
      <c r="W4" s="415"/>
      <c r="X4" s="160" t="s">
        <v>9</v>
      </c>
      <c r="Y4" s="519" t="s">
        <v>223</v>
      </c>
      <c r="Z4" s="521" t="s">
        <v>4</v>
      </c>
    </row>
    <row r="5" spans="2:28" ht="12.75" customHeight="1" thickBot="1" x14ac:dyDescent="0.35">
      <c r="B5" s="163"/>
      <c r="C5" s="169"/>
      <c r="D5" s="157"/>
      <c r="E5" s="476"/>
      <c r="F5" s="131" t="s">
        <v>33</v>
      </c>
      <c r="G5" s="131" t="s">
        <v>34</v>
      </c>
      <c r="H5" s="132" t="s">
        <v>35</v>
      </c>
      <c r="I5" s="131" t="s">
        <v>33</v>
      </c>
      <c r="J5" s="131" t="s">
        <v>34</v>
      </c>
      <c r="K5" s="132" t="s">
        <v>35</v>
      </c>
      <c r="L5" s="131" t="s">
        <v>33</v>
      </c>
      <c r="M5" s="131" t="s">
        <v>34</v>
      </c>
      <c r="N5" s="132" t="s">
        <v>35</v>
      </c>
      <c r="O5" s="131" t="s">
        <v>33</v>
      </c>
      <c r="P5" s="131" t="s">
        <v>34</v>
      </c>
      <c r="Q5" s="132" t="s">
        <v>35</v>
      </c>
      <c r="R5" s="131" t="s">
        <v>33</v>
      </c>
      <c r="S5" s="131" t="s">
        <v>34</v>
      </c>
      <c r="T5" s="132" t="s">
        <v>35</v>
      </c>
      <c r="U5" s="131" t="s">
        <v>33</v>
      </c>
      <c r="V5" s="131" t="s">
        <v>34</v>
      </c>
      <c r="W5" s="132" t="s">
        <v>35</v>
      </c>
      <c r="X5" s="157"/>
      <c r="Y5" s="520"/>
      <c r="Z5" s="522"/>
    </row>
    <row r="6" spans="2:28" ht="12.75" customHeight="1" thickBot="1" x14ac:dyDescent="0.35">
      <c r="B6" s="133">
        <v>1</v>
      </c>
      <c r="C6" s="142" t="s">
        <v>574</v>
      </c>
      <c r="D6" s="481">
        <f>IFERROR(VLOOKUP(C6,Tabla15[[Piloto]:[Puntos clase]],7, FALSE), " ")</f>
        <v>2</v>
      </c>
      <c r="E6" s="477" t="str">
        <f t="shared" ref="E6:E11" si="0">LEFT(AB6,LEN(AB6)-2)</f>
        <v>2</v>
      </c>
      <c r="F6" s="475">
        <f>IFERROR(VLOOKUP(C6,'01_RS ALCARRIA'!$D$6:$M$36,10,FALSE),"")</f>
        <v>25</v>
      </c>
      <c r="G6" s="135">
        <f>IFERROR(VLOOKUP(C6,'01_RS ALCARRIA'!$D$6:$O$36,12,FALSE),"")</f>
        <v>10</v>
      </c>
      <c r="H6" s="138">
        <f t="shared" ref="H6:H16" si="1">(F6+G6)*2</f>
        <v>70</v>
      </c>
      <c r="I6" s="135">
        <f>IFERROR(VLOOKUP(C6,'02_TCT GUADAMUR'!$D$6:$M$36,10,FALSE),"")</f>
        <v>17</v>
      </c>
      <c r="J6" s="135">
        <f>IFERROR(VLOOKUP(C6,'02_TCT GUADAMUR'!$D$6:$O$36,12,FALSE),"")</f>
        <v>6</v>
      </c>
      <c r="K6" s="138">
        <f>(I6+J6)</f>
        <v>23</v>
      </c>
      <c r="L6" s="135"/>
      <c r="M6" s="135"/>
      <c r="N6" s="138"/>
      <c r="O6" s="135"/>
      <c r="P6" s="135"/>
      <c r="Q6" s="138"/>
      <c r="R6" s="135"/>
      <c r="S6" s="135"/>
      <c r="T6" s="138"/>
      <c r="U6" s="135"/>
      <c r="V6" s="135"/>
      <c r="W6" s="138"/>
      <c r="X6" s="139">
        <f t="shared" ref="X6:X41" si="2">H6+K6+N6+Q6+T6+W6</f>
        <v>93</v>
      </c>
      <c r="Y6" s="140" t="str">
        <f>IF(Z6&gt;=3,"Sí","No")</f>
        <v>No</v>
      </c>
      <c r="Z6" s="141">
        <f>COUNTA(H6,K6,N6,Q6,T6,W6)</f>
        <v>2</v>
      </c>
      <c r="AB6" s="261" t="str">
        <f>IFERROR(VLOOKUP(C6,Tabla15[[Piloto]:[Puntos clase]],6, FALSE), " ")</f>
        <v>2RM</v>
      </c>
    </row>
    <row r="7" spans="2:28" ht="12.75" customHeight="1" x14ac:dyDescent="0.3">
      <c r="B7" s="133">
        <v>2</v>
      </c>
      <c r="C7" s="134" t="s">
        <v>576</v>
      </c>
      <c r="D7" s="482">
        <f>IFERROR(VLOOKUP(C7,Tabla15[[Piloto]:[Puntos clase]],7, FALSE), " ")</f>
        <v>2</v>
      </c>
      <c r="E7" s="483" t="str">
        <f t="shared" si="0"/>
        <v>2</v>
      </c>
      <c r="F7" s="135">
        <f>IFERROR(VLOOKUP(C7,'01_RS ALCARRIA'!$D$6:$M$36,10,FALSE),"")</f>
        <v>20</v>
      </c>
      <c r="G7" s="135">
        <f>IFERROR(VLOOKUP(C7,'01_RS ALCARRIA'!$D$6:$O$36,12,FALSE),"")</f>
        <v>8</v>
      </c>
      <c r="H7" s="138">
        <f t="shared" si="1"/>
        <v>56</v>
      </c>
      <c r="I7" s="135">
        <f>IFERROR(VLOOKUP(C7,'02_TCT GUADAMUR'!$D$6:$M$36,10,FALSE),"")</f>
        <v>25</v>
      </c>
      <c r="J7" s="135">
        <f>IFERROR(VLOOKUP(C7,'02_TCT GUADAMUR'!$D$6:$O$36,12,FALSE),"")</f>
        <v>10</v>
      </c>
      <c r="K7" s="138">
        <f>(I7+J7)</f>
        <v>35</v>
      </c>
      <c r="L7" s="135"/>
      <c r="M7" s="135"/>
      <c r="N7" s="138"/>
      <c r="O7" s="135"/>
      <c r="P7" s="135"/>
      <c r="Q7" s="138"/>
      <c r="R7" s="135"/>
      <c r="S7" s="135"/>
      <c r="T7" s="138"/>
      <c r="U7" s="135"/>
      <c r="V7" s="135"/>
      <c r="W7" s="138"/>
      <c r="X7" s="139">
        <f t="shared" si="2"/>
        <v>91</v>
      </c>
      <c r="Y7" s="140" t="str">
        <f t="shared" ref="Y7:Y39" si="3">IF(Z7&gt;=3,"Sí","No")</f>
        <v>No</v>
      </c>
      <c r="Z7" s="141">
        <f t="shared" ref="Z7:Z39" si="4">COUNTA(H7,K7,N7,Q7,T7,W7)</f>
        <v>2</v>
      </c>
      <c r="AB7" s="261" t="str">
        <f>IFERROR(VLOOKUP(C7,Tabla15[[Piloto]:[Puntos clase]],6, FALSE), " ")</f>
        <v>2RM</v>
      </c>
    </row>
    <row r="8" spans="2:28" ht="12.75" customHeight="1" x14ac:dyDescent="0.3">
      <c r="B8" s="133">
        <v>3</v>
      </c>
      <c r="C8" s="134" t="s">
        <v>368</v>
      </c>
      <c r="D8" s="482">
        <f>IFERROR(VLOOKUP(C8,Tabla15[[Piloto]:[Puntos clase]],7, FALSE), " ")</f>
        <v>3</v>
      </c>
      <c r="E8" s="482" t="str">
        <f t="shared" si="0"/>
        <v>2</v>
      </c>
      <c r="F8" s="135">
        <f>IFERROR(VLOOKUP(C8,'01_RS ALCARRIA'!$D$6:$M$36,10,FALSE),"")</f>
        <v>10</v>
      </c>
      <c r="G8" s="135">
        <f>IFERROR(VLOOKUP(C8,'01_RS ALCARRIA'!$D$6:$O$36,12,FALSE),"")</f>
        <v>10</v>
      </c>
      <c r="H8" s="138">
        <f t="shared" si="1"/>
        <v>40</v>
      </c>
      <c r="I8" s="135">
        <f>IFERROR(VLOOKUP(C8,'02_TCT GUADAMUR'!$D$6:$M$36,10,FALSE),"")</f>
        <v>10</v>
      </c>
      <c r="J8" s="135">
        <f>IFERROR(VLOOKUP(C8,'02_TCT GUADAMUR'!$D$6:$O$36,12,FALSE),"")</f>
        <v>8</v>
      </c>
      <c r="K8" s="138">
        <f>(I8+J8)</f>
        <v>18</v>
      </c>
      <c r="L8" s="135"/>
      <c r="M8" s="135"/>
      <c r="N8" s="138"/>
      <c r="O8" s="135"/>
      <c r="P8" s="135"/>
      <c r="Q8" s="138"/>
      <c r="R8" s="135"/>
      <c r="S8" s="135"/>
      <c r="T8" s="138"/>
      <c r="U8" s="135"/>
      <c r="V8" s="135"/>
      <c r="W8" s="138"/>
      <c r="X8" s="139">
        <f t="shared" si="2"/>
        <v>58</v>
      </c>
      <c r="Y8" s="140" t="str">
        <f t="shared" si="3"/>
        <v>No</v>
      </c>
      <c r="Z8" s="141">
        <f t="shared" si="4"/>
        <v>2</v>
      </c>
      <c r="AB8" s="261" t="str">
        <f>IFERROR(VLOOKUP(C8,Tabla15[[Piloto]:[Puntos clase]],6, FALSE), " ")</f>
        <v>2RM</v>
      </c>
    </row>
    <row r="9" spans="2:28" ht="12.75" customHeight="1" x14ac:dyDescent="0.3">
      <c r="B9" s="133">
        <v>4</v>
      </c>
      <c r="C9" s="134" t="s">
        <v>174</v>
      </c>
      <c r="D9" s="482">
        <f>IFERROR(VLOOKUP(C9,Tabla15[[Piloto]:[Puntos clase]],7, FALSE), " ")</f>
        <v>1</v>
      </c>
      <c r="E9" s="482" t="str">
        <f t="shared" si="0"/>
        <v>4</v>
      </c>
      <c r="F9" s="135">
        <f>IFERROR(VLOOKUP(C9,'01_RS ALCARRIA'!$D$6:$M$36,10,FALSE),"")</f>
        <v>12</v>
      </c>
      <c r="G9" s="284">
        <f>IFERROR(VLOOKUP(C9,'01_RS ALCARRIA'!$D$6:$O$36,12,FALSE),"")/2</f>
        <v>4</v>
      </c>
      <c r="H9" s="138">
        <f t="shared" si="1"/>
        <v>32</v>
      </c>
      <c r="I9" s="135">
        <f>IFERROR(VLOOKUP(C9,'02_TCT GUADAMUR'!$D$6:$M$36,10,FALSE),"")</f>
        <v>15</v>
      </c>
      <c r="J9" s="135">
        <f>IFERROR(VLOOKUP(C9,'02_TCT GUADAMUR'!$D$6:$O$36,12,FALSE),"")</f>
        <v>10</v>
      </c>
      <c r="K9" s="138">
        <f>(I9+J9)</f>
        <v>25</v>
      </c>
      <c r="L9" s="135"/>
      <c r="M9" s="135"/>
      <c r="N9" s="138"/>
      <c r="O9" s="135"/>
      <c r="P9" s="135"/>
      <c r="Q9" s="138"/>
      <c r="R9" s="135"/>
      <c r="S9" s="135"/>
      <c r="T9" s="138"/>
      <c r="U9" s="135"/>
      <c r="V9" s="135"/>
      <c r="W9" s="138"/>
      <c r="X9" s="139">
        <f t="shared" si="2"/>
        <v>57</v>
      </c>
      <c r="Y9" s="140" t="str">
        <f t="shared" si="3"/>
        <v>No</v>
      </c>
      <c r="Z9" s="141">
        <f t="shared" si="4"/>
        <v>2</v>
      </c>
      <c r="AB9" s="261" t="str">
        <f>IFERROR(VLOOKUP(C9,Tabla15[[Piloto]:[Puntos clase]],6, FALSE), " ")</f>
        <v>4RM</v>
      </c>
    </row>
    <row r="10" spans="2:28" ht="12.75" customHeight="1" x14ac:dyDescent="0.3">
      <c r="B10" s="133">
        <v>5</v>
      </c>
      <c r="C10" s="142" t="s">
        <v>597</v>
      </c>
      <c r="D10" s="482">
        <f>IFERROR(VLOOKUP(C10,Tabla15[[Piloto]:[Puntos clase]],7, FALSE), " ")</f>
        <v>5</v>
      </c>
      <c r="E10" s="482" t="str">
        <f t="shared" si="0"/>
        <v>2</v>
      </c>
      <c r="F10" s="135">
        <f>IFERROR(VLOOKUP(C10,'01_RS ALCARRIA'!$D$6:$M$36,10,FALSE),"")</f>
        <v>4</v>
      </c>
      <c r="G10" s="135">
        <f>IFERROR(VLOOKUP(C10,'01_RS ALCARRIA'!$D$6:$O$36,12,FALSE),"")</f>
        <v>10</v>
      </c>
      <c r="H10" s="138">
        <f t="shared" si="1"/>
        <v>28</v>
      </c>
      <c r="I10" s="135">
        <f>IFERROR(VLOOKUP(C10,'02_TCT GUADAMUR'!$D$6:$M$36,10,FALSE),"")</f>
        <v>8</v>
      </c>
      <c r="J10" s="135">
        <f>IFERROR(VLOOKUP(C10,'02_TCT GUADAMUR'!$D$6:$O$36,12,FALSE),"")</f>
        <v>10</v>
      </c>
      <c r="K10" s="138">
        <f>(I10+J10)</f>
        <v>18</v>
      </c>
      <c r="L10" s="135"/>
      <c r="M10" s="135"/>
      <c r="N10" s="138"/>
      <c r="O10" s="135"/>
      <c r="P10" s="135"/>
      <c r="Q10" s="138"/>
      <c r="R10" s="135"/>
      <c r="S10" s="135"/>
      <c r="T10" s="138"/>
      <c r="U10" s="135"/>
      <c r="V10" s="135"/>
      <c r="W10" s="138"/>
      <c r="X10" s="139">
        <f t="shared" si="2"/>
        <v>46</v>
      </c>
      <c r="Y10" s="140" t="str">
        <f t="shared" si="3"/>
        <v>No</v>
      </c>
      <c r="Z10" s="141">
        <f t="shared" si="4"/>
        <v>2</v>
      </c>
      <c r="AB10" s="261" t="str">
        <f>IFERROR(VLOOKUP(C10,Tabla15[[Piloto]:[Puntos clase]],6, FALSE), " ")</f>
        <v>2RM</v>
      </c>
    </row>
    <row r="11" spans="2:28" ht="12.75" customHeight="1" x14ac:dyDescent="0.3">
      <c r="B11" s="133">
        <v>6</v>
      </c>
      <c r="C11" s="142" t="s">
        <v>654</v>
      </c>
      <c r="D11" s="482">
        <f>IFERROR(VLOOKUP(C11,Tabla15[[Piloto]:[Puntos clase]],7, FALSE), " ")</f>
        <v>1</v>
      </c>
      <c r="E11" s="482" t="str">
        <f t="shared" si="0"/>
        <v>4</v>
      </c>
      <c r="F11" s="135">
        <f>IFERROR(VLOOKUP(C11,'01_RS ALCARRIA'!$D$6:$M$36,10,FALSE),"")</f>
        <v>17</v>
      </c>
      <c r="G11" s="284">
        <f>IFERROR(VLOOKUP(C11,'01_RS ALCARRIA'!$D$6:$O$36,12,FALSE),"")/2</f>
        <v>5</v>
      </c>
      <c r="H11" s="138">
        <f t="shared" si="1"/>
        <v>44</v>
      </c>
      <c r="I11" s="135"/>
      <c r="J11" s="135"/>
      <c r="K11" s="138"/>
      <c r="L11" s="135"/>
      <c r="M11" s="135"/>
      <c r="N11" s="138"/>
      <c r="O11" s="135"/>
      <c r="P11" s="135"/>
      <c r="Q11" s="138"/>
      <c r="R11" s="135"/>
      <c r="S11" s="135"/>
      <c r="T11" s="138"/>
      <c r="U11" s="135"/>
      <c r="V11" s="135"/>
      <c r="W11" s="138"/>
      <c r="X11" s="139">
        <f t="shared" si="2"/>
        <v>44</v>
      </c>
      <c r="Y11" s="140" t="str">
        <f t="shared" si="3"/>
        <v>No</v>
      </c>
      <c r="Z11" s="141">
        <f t="shared" si="4"/>
        <v>1</v>
      </c>
      <c r="AB11" s="261" t="str">
        <f>IFERROR(VLOOKUP(C11,Tabla15[[Piloto]:[Puntos clase]],6, FALSE), " ")</f>
        <v>4RM</v>
      </c>
    </row>
    <row r="12" spans="2:28" ht="12.75" customHeight="1" x14ac:dyDescent="0.3">
      <c r="B12" s="133">
        <v>7</v>
      </c>
      <c r="C12" s="142" t="s">
        <v>585</v>
      </c>
      <c r="D12" s="482">
        <v>2</v>
      </c>
      <c r="E12" s="482">
        <v>2</v>
      </c>
      <c r="F12" s="135">
        <f>IFERROR(VLOOKUP(C12,'01_RS ALCARRIA'!$D$6:$M$36,10,FALSE),"")</f>
        <v>15</v>
      </c>
      <c r="G12" s="135">
        <f>IFERROR(VLOOKUP(C12,'01_RS ALCARRIA'!$D$6:$O$36,12,FALSE),"")</f>
        <v>6</v>
      </c>
      <c r="H12" s="138">
        <f t="shared" si="1"/>
        <v>42</v>
      </c>
      <c r="I12" s="135"/>
      <c r="J12" s="135"/>
      <c r="K12" s="138"/>
      <c r="L12" s="135"/>
      <c r="M12" s="135"/>
      <c r="N12" s="138"/>
      <c r="O12" s="135"/>
      <c r="P12" s="135"/>
      <c r="Q12" s="138"/>
      <c r="R12" s="135"/>
      <c r="S12" s="135"/>
      <c r="T12" s="138"/>
      <c r="U12" s="135"/>
      <c r="V12" s="135"/>
      <c r="W12" s="138"/>
      <c r="X12" s="139">
        <f t="shared" si="2"/>
        <v>42</v>
      </c>
      <c r="Y12" s="140" t="str">
        <f t="shared" si="3"/>
        <v>No</v>
      </c>
      <c r="Z12" s="141">
        <f t="shared" si="4"/>
        <v>1</v>
      </c>
      <c r="AB12" s="261" t="str">
        <f>IFERROR(VLOOKUP(C12,Tabla15[[Piloto]:[Puntos clase]],6, FALSE), " ")</f>
        <v>2RM</v>
      </c>
    </row>
    <row r="13" spans="2:28" ht="12.75" customHeight="1" x14ac:dyDescent="0.3">
      <c r="B13" s="133">
        <v>7</v>
      </c>
      <c r="C13" s="142" t="s">
        <v>283</v>
      </c>
      <c r="D13" s="482">
        <f>IFERROR(VLOOKUP(C13,Tabla15[[Piloto]:[Puntos clase]],7, FALSE), " ")</f>
        <v>4</v>
      </c>
      <c r="E13" s="482" t="str">
        <f>LEFT(AB13,LEN(AB13)-2)</f>
        <v>2</v>
      </c>
      <c r="F13" s="135">
        <f>IFERROR(VLOOKUP(C13,'01_RS ALCARRIA'!$D$6:$M$36,10,FALSE),"")</f>
        <v>3</v>
      </c>
      <c r="G13" s="135">
        <f>IFERROR(VLOOKUP(C13,'01_RS ALCARRIA'!$D$6:$O$36,12,FALSE),"")</f>
        <v>10</v>
      </c>
      <c r="H13" s="138">
        <f t="shared" si="1"/>
        <v>26</v>
      </c>
      <c r="I13" s="135">
        <f>IFERROR(VLOOKUP(C13,'02_TCT GUADAMUR'!$D$6:$M$36,10,FALSE),"")</f>
        <v>6</v>
      </c>
      <c r="J13" s="135">
        <f>IFERROR(VLOOKUP(C13,'02_TCT GUADAMUR'!$D$6:$O$36,12,FALSE),"")</f>
        <v>10</v>
      </c>
      <c r="K13" s="138">
        <f>(I13+J13)</f>
        <v>16</v>
      </c>
      <c r="L13" s="135"/>
      <c r="M13" s="135"/>
      <c r="N13" s="138"/>
      <c r="O13" s="135"/>
      <c r="P13" s="135"/>
      <c r="Q13" s="138"/>
      <c r="R13" s="135"/>
      <c r="S13" s="135"/>
      <c r="T13" s="138"/>
      <c r="U13" s="135"/>
      <c r="V13" s="135"/>
      <c r="W13" s="138"/>
      <c r="X13" s="139">
        <f t="shared" si="2"/>
        <v>42</v>
      </c>
      <c r="Y13" s="140" t="str">
        <f t="shared" si="3"/>
        <v>No</v>
      </c>
      <c r="Z13" s="141">
        <f t="shared" si="4"/>
        <v>2</v>
      </c>
      <c r="AB13" s="261" t="str">
        <f>IFERROR(VLOOKUP(C13,Tabla15[[Piloto]:[Puntos clase]],6, FALSE), " ")</f>
        <v>2RM</v>
      </c>
    </row>
    <row r="14" spans="2:28" ht="12.75" customHeight="1" x14ac:dyDescent="0.3">
      <c r="B14" s="133">
        <v>9</v>
      </c>
      <c r="C14" s="155" t="s">
        <v>592</v>
      </c>
      <c r="D14" s="482">
        <f>IFERROR(VLOOKUP(C14,Tabla15[[Piloto]:[Puntos clase]],7, FALSE), " ")</f>
        <v>3</v>
      </c>
      <c r="E14" s="482" t="str">
        <f>LEFT(AB14,LEN(AB14)-2)</f>
        <v>2</v>
      </c>
      <c r="F14" s="135">
        <f>IFERROR(VLOOKUP(C14,'01_RS ALCARRIA'!$D$6:$M$36,10,FALSE),"")</f>
        <v>8</v>
      </c>
      <c r="G14" s="135">
        <f>IFERROR(VLOOKUP(C14,'01_RS ALCARRIA'!$D$6:$O$36,12,FALSE),"")</f>
        <v>8</v>
      </c>
      <c r="H14" s="138">
        <f t="shared" si="1"/>
        <v>32</v>
      </c>
      <c r="I14" s="135">
        <v>0</v>
      </c>
      <c r="J14" s="135">
        <v>0</v>
      </c>
      <c r="K14" s="138">
        <f>(I14+J14)</f>
        <v>0</v>
      </c>
      <c r="L14" s="135"/>
      <c r="M14" s="135"/>
      <c r="N14" s="138"/>
      <c r="O14" s="135"/>
      <c r="P14" s="135"/>
      <c r="Q14" s="138"/>
      <c r="R14" s="135"/>
      <c r="S14" s="135"/>
      <c r="T14" s="138"/>
      <c r="U14" s="135"/>
      <c r="V14" s="135"/>
      <c r="W14" s="138"/>
      <c r="X14" s="139">
        <f t="shared" si="2"/>
        <v>32</v>
      </c>
      <c r="Y14" s="140" t="str">
        <f t="shared" si="3"/>
        <v>No</v>
      </c>
      <c r="Z14" s="141">
        <f t="shared" si="4"/>
        <v>2</v>
      </c>
      <c r="AB14" s="261" t="str">
        <f>IFERROR(VLOOKUP(C14,Tabla15[[Piloto]:[Puntos clase]],6, FALSE), " ")</f>
        <v>2RM</v>
      </c>
    </row>
    <row r="15" spans="2:28" ht="12.75" customHeight="1" x14ac:dyDescent="0.3">
      <c r="B15" s="133">
        <v>10</v>
      </c>
      <c r="C15" s="142" t="s">
        <v>332</v>
      </c>
      <c r="D15" s="482">
        <f>IFERROR(VLOOKUP(C15,Tabla15[[Piloto]:[Puntos clase]],7, FALSE), " ")</f>
        <v>4</v>
      </c>
      <c r="E15" s="482" t="str">
        <f>LEFT(AB15,LEN(AB15)-2)</f>
        <v>2</v>
      </c>
      <c r="F15" s="135">
        <f>IFERROR(VLOOKUP(C15,'01_RS ALCARRIA'!$D$6:$M$36,10,FALSE),"")</f>
        <v>2</v>
      </c>
      <c r="G15" s="135">
        <f>IFERROR(VLOOKUP(C15,'01_RS ALCARRIA'!$D$6:$O$36,12,FALSE),"")</f>
        <v>8</v>
      </c>
      <c r="H15" s="138">
        <f t="shared" si="1"/>
        <v>20</v>
      </c>
      <c r="I15" s="135">
        <f>IFERROR(VLOOKUP(C15,'02_TCT GUADAMUR'!$D$6:$M$36,10,FALSE),"")</f>
        <v>1</v>
      </c>
      <c r="J15" s="135">
        <f>IFERROR(VLOOKUP(C15,'02_TCT GUADAMUR'!$D$6:$O$36,12,FALSE),"")</f>
        <v>8</v>
      </c>
      <c r="K15" s="138">
        <f>(I15+J15)</f>
        <v>9</v>
      </c>
      <c r="L15" s="135"/>
      <c r="M15" s="135"/>
      <c r="N15" s="138"/>
      <c r="O15" s="135"/>
      <c r="P15" s="135"/>
      <c r="Q15" s="138"/>
      <c r="R15" s="135"/>
      <c r="S15" s="135"/>
      <c r="T15" s="138"/>
      <c r="U15" s="135"/>
      <c r="V15" s="135"/>
      <c r="W15" s="138"/>
      <c r="X15" s="139">
        <f t="shared" si="2"/>
        <v>29</v>
      </c>
      <c r="Y15" s="140" t="str">
        <f t="shared" si="3"/>
        <v>No</v>
      </c>
      <c r="Z15" s="141">
        <f t="shared" si="4"/>
        <v>2</v>
      </c>
      <c r="AB15" s="261" t="str">
        <f>IFERROR(VLOOKUP(C15,Tabla15[[Piloto]:[Puntos clase]],6, FALSE), " ")</f>
        <v>2RM</v>
      </c>
    </row>
    <row r="16" spans="2:28" ht="12.75" customHeight="1" x14ac:dyDescent="0.3">
      <c r="B16" s="133">
        <v>11</v>
      </c>
      <c r="C16" s="142" t="s">
        <v>595</v>
      </c>
      <c r="D16" s="482">
        <f>IFERROR(VLOOKUP(C16,Tabla15[[Piloto]:[Puntos clase]],7, FALSE), " ")</f>
        <v>3</v>
      </c>
      <c r="E16" s="482" t="str">
        <f>LEFT(AB16,LEN(AB16)-2)</f>
        <v>2</v>
      </c>
      <c r="F16" s="135">
        <f>IFERROR(VLOOKUP(C16,'01_RS ALCARRIA'!$D$6:$M$36,10,FALSE),"")</f>
        <v>5</v>
      </c>
      <c r="G16" s="135">
        <f>IFERROR(VLOOKUP(C16,'01_RS ALCARRIA'!$D$6:$O$36,12,FALSE),"")</f>
        <v>5</v>
      </c>
      <c r="H16" s="138">
        <f t="shared" si="1"/>
        <v>20</v>
      </c>
      <c r="I16" s="135">
        <f>IFERROR(VLOOKUP(C16,'02_TCT GUADAMUR'!$D$6:$M$36,10,FALSE),"")</f>
        <v>3</v>
      </c>
      <c r="J16" s="135">
        <f>IFERROR(VLOOKUP(C16,'02_TCT GUADAMUR'!$D$6:$O$36,12,FALSE),"")</f>
        <v>5</v>
      </c>
      <c r="K16" s="138">
        <f>(I16+J16)</f>
        <v>8</v>
      </c>
      <c r="L16" s="135"/>
      <c r="M16" s="135"/>
      <c r="N16" s="138"/>
      <c r="O16" s="135"/>
      <c r="P16" s="135"/>
      <c r="Q16" s="138"/>
      <c r="R16" s="135"/>
      <c r="S16" s="135"/>
      <c r="T16" s="138"/>
      <c r="U16" s="135"/>
      <c r="V16" s="135"/>
      <c r="W16" s="138"/>
      <c r="X16" s="139">
        <f t="shared" si="2"/>
        <v>28</v>
      </c>
      <c r="Y16" s="140" t="str">
        <f t="shared" si="3"/>
        <v>No</v>
      </c>
      <c r="Z16" s="141">
        <f t="shared" si="4"/>
        <v>2</v>
      </c>
      <c r="AB16" s="261" t="str">
        <f>IFERROR(VLOOKUP(C16,Tabla15[[Piloto]:[Puntos clase]],6, FALSE), " ")</f>
        <v>2RM</v>
      </c>
    </row>
    <row r="17" spans="2:28" ht="12.75" customHeight="1" x14ac:dyDescent="0.3">
      <c r="B17" s="133">
        <v>11</v>
      </c>
      <c r="C17" s="134" t="s">
        <v>668</v>
      </c>
      <c r="D17" s="482">
        <v>2</v>
      </c>
      <c r="E17" s="482">
        <v>2</v>
      </c>
      <c r="F17" s="135"/>
      <c r="G17" s="135"/>
      <c r="H17" s="138"/>
      <c r="I17" s="135">
        <f>IFERROR(VLOOKUP(C17,'02_TCT GUADAMUR'!$D$6:$M$36,10,FALSE),"")</f>
        <v>20</v>
      </c>
      <c r="J17" s="135">
        <f>IFERROR(VLOOKUP(C17,'02_TCT GUADAMUR'!$D$6:$O$36,12,FALSE),"")</f>
        <v>8</v>
      </c>
      <c r="K17" s="138">
        <f>(I17+J17)</f>
        <v>28</v>
      </c>
      <c r="L17" s="135"/>
      <c r="M17" s="135"/>
      <c r="N17" s="138"/>
      <c r="O17" s="135"/>
      <c r="P17" s="135"/>
      <c r="Q17" s="138"/>
      <c r="R17" s="135"/>
      <c r="S17" s="135"/>
      <c r="T17" s="138"/>
      <c r="U17" s="135"/>
      <c r="V17" s="135"/>
      <c r="W17" s="138"/>
      <c r="X17" s="139">
        <f t="shared" si="2"/>
        <v>28</v>
      </c>
      <c r="Y17" s="140" t="str">
        <f t="shared" si="3"/>
        <v>No</v>
      </c>
      <c r="Z17" s="141">
        <f t="shared" si="4"/>
        <v>1</v>
      </c>
      <c r="AB17" s="261" t="str">
        <f>IFERROR(VLOOKUP(C17,Tabla15[[Piloto]:[Puntos clase]],6, FALSE), " ")</f>
        <v xml:space="preserve"> </v>
      </c>
    </row>
    <row r="18" spans="2:28" ht="12.75" customHeight="1" x14ac:dyDescent="0.3">
      <c r="B18" s="133">
        <v>13</v>
      </c>
      <c r="C18" s="142" t="s">
        <v>593</v>
      </c>
      <c r="D18" s="482">
        <f>IFERROR(VLOOKUP(C18,Tabla15[[Piloto]:[Puntos clase]],7, FALSE), " ")</f>
        <v>3</v>
      </c>
      <c r="E18" s="482" t="str">
        <f>LEFT(AB18,LEN(AB18)-2)</f>
        <v>2</v>
      </c>
      <c r="F18" s="135">
        <f>IFERROR(VLOOKUP(C18,'01_RS ALCARRIA'!$D$6:$M$36,10,FALSE),"")</f>
        <v>6</v>
      </c>
      <c r="G18" s="135">
        <f>IFERROR(VLOOKUP(C18,'01_RS ALCARRIA'!$D$6:$O$36,12,FALSE),"")</f>
        <v>6</v>
      </c>
      <c r="H18" s="138">
        <f>(F18+G18)*2</f>
        <v>24</v>
      </c>
      <c r="I18" s="135"/>
      <c r="J18" s="135"/>
      <c r="K18" s="138"/>
      <c r="L18" s="135"/>
      <c r="M18" s="135"/>
      <c r="N18" s="138"/>
      <c r="O18" s="135"/>
      <c r="P18" s="135"/>
      <c r="Q18" s="138"/>
      <c r="R18" s="135"/>
      <c r="S18" s="135"/>
      <c r="T18" s="138"/>
      <c r="U18" s="135"/>
      <c r="V18" s="135"/>
      <c r="W18" s="138"/>
      <c r="X18" s="139">
        <f t="shared" si="2"/>
        <v>24</v>
      </c>
      <c r="Y18" s="140" t="str">
        <f t="shared" si="3"/>
        <v>No</v>
      </c>
      <c r="Z18" s="141">
        <f t="shared" si="4"/>
        <v>1</v>
      </c>
      <c r="AB18" s="261" t="str">
        <f>IFERROR(VLOOKUP(C18,Tabla15[[Piloto]:[Puntos clase]],6, FALSE), " ")</f>
        <v>2RM</v>
      </c>
    </row>
    <row r="19" spans="2:28" ht="12.75" customHeight="1" x14ac:dyDescent="0.3">
      <c r="B19" s="133">
        <v>14</v>
      </c>
      <c r="C19" s="134" t="s">
        <v>212</v>
      </c>
      <c r="D19" s="482">
        <v>3</v>
      </c>
      <c r="E19" s="482">
        <v>2</v>
      </c>
      <c r="F19" s="135"/>
      <c r="G19" s="135"/>
      <c r="H19" s="138"/>
      <c r="I19" s="135">
        <f>IFERROR(VLOOKUP(C19,'02_TCT GUADAMUR'!$D$6:$M$36,10,FALSE),"")</f>
        <v>12</v>
      </c>
      <c r="J19" s="135">
        <f>IFERROR(VLOOKUP(C19,'02_TCT GUADAMUR'!$D$6:$O$36,12,FALSE),"")</f>
        <v>10</v>
      </c>
      <c r="K19" s="138">
        <f>(I19+J19)</f>
        <v>22</v>
      </c>
      <c r="L19" s="135"/>
      <c r="M19" s="135"/>
      <c r="N19" s="138"/>
      <c r="O19" s="135"/>
      <c r="P19" s="135"/>
      <c r="Q19" s="138"/>
      <c r="R19" s="135"/>
      <c r="S19" s="135"/>
      <c r="T19" s="138"/>
      <c r="U19" s="135"/>
      <c r="V19" s="135"/>
      <c r="W19" s="138"/>
      <c r="X19" s="139">
        <f t="shared" si="2"/>
        <v>22</v>
      </c>
      <c r="Y19" s="140" t="str">
        <f t="shared" si="3"/>
        <v>No</v>
      </c>
      <c r="Z19" s="141">
        <f t="shared" si="4"/>
        <v>1</v>
      </c>
      <c r="AB19" s="261" t="str">
        <f>IFERROR(VLOOKUP(C19,Tabla15[[Piloto]:[Puntos clase]],6, FALSE), " ")</f>
        <v xml:space="preserve"> </v>
      </c>
    </row>
    <row r="20" spans="2:28" ht="12.75" customHeight="1" x14ac:dyDescent="0.3">
      <c r="B20" s="133">
        <v>15</v>
      </c>
      <c r="C20" s="142" t="s">
        <v>621</v>
      </c>
      <c r="D20" s="482">
        <v>4</v>
      </c>
      <c r="E20" s="482" t="str">
        <f>LEFT(AB20,LEN(AB20)-2)</f>
        <v>2</v>
      </c>
      <c r="F20" s="135">
        <f>IFERROR(VLOOKUP(C20,'01_RS ALCARRIA'!$D$6:$M$36,10,FALSE),"")</f>
        <v>0</v>
      </c>
      <c r="G20" s="135">
        <f>IFERROR(VLOOKUP(C20,'01_RS ALCARRIA'!$D$6:$O$36,12,FALSE),"")</f>
        <v>6</v>
      </c>
      <c r="H20" s="138">
        <f>(F20+G20)*2</f>
        <v>12</v>
      </c>
      <c r="I20" s="135">
        <f>IFERROR(VLOOKUP(C20,'02_TCT GUADAMUR'!$D$6:$M$36,10,FALSE),"")</f>
        <v>0</v>
      </c>
      <c r="J20" s="135">
        <f>IFERROR(VLOOKUP(C20,'02_TCT GUADAMUR'!$D$6:$O$36,12,FALSE),"")</f>
        <v>5</v>
      </c>
      <c r="K20" s="138">
        <f>(I20+J20)</f>
        <v>5</v>
      </c>
      <c r="L20" s="135"/>
      <c r="M20" s="135"/>
      <c r="N20" s="138"/>
      <c r="O20" s="135"/>
      <c r="P20" s="135"/>
      <c r="Q20" s="138"/>
      <c r="R20" s="135"/>
      <c r="S20" s="135"/>
      <c r="T20" s="138"/>
      <c r="U20" s="135"/>
      <c r="V20" s="135"/>
      <c r="W20" s="138"/>
      <c r="X20" s="139">
        <f t="shared" si="2"/>
        <v>17</v>
      </c>
      <c r="Y20" s="140" t="str">
        <f t="shared" si="3"/>
        <v>No</v>
      </c>
      <c r="Z20" s="141">
        <f t="shared" si="4"/>
        <v>2</v>
      </c>
      <c r="AB20" s="261" t="str">
        <f>IFERROR(VLOOKUP(C20,Tabla15[[Piloto]:[Puntos clase]],6, FALSE), " ")</f>
        <v>2RM</v>
      </c>
    </row>
    <row r="21" spans="2:28" ht="12.75" customHeight="1" x14ac:dyDescent="0.3">
      <c r="B21" s="133">
        <v>16</v>
      </c>
      <c r="C21" s="142" t="s">
        <v>624</v>
      </c>
      <c r="D21" s="482">
        <v>4</v>
      </c>
      <c r="E21" s="482">
        <v>2</v>
      </c>
      <c r="F21" s="135">
        <f>IFERROR(VLOOKUP(C21,'01_RS ALCARRIA'!$D$6:$M$36,10,FALSE),"")</f>
        <v>0</v>
      </c>
      <c r="G21" s="135">
        <f>IFERROR(VLOOKUP(C21,'01_RS ALCARRIA'!$D$6:$O$36,12,FALSE),"")</f>
        <v>5</v>
      </c>
      <c r="H21" s="138">
        <f>(F21+G21)*2</f>
        <v>10</v>
      </c>
      <c r="I21" s="135">
        <f>IFERROR(VLOOKUP(C21,'02_TCT GUADAMUR'!$D$6:$M$36,10,FALSE),"")</f>
        <v>0</v>
      </c>
      <c r="J21" s="135">
        <f>IFERROR(VLOOKUP(C21,'02_TCT GUADAMUR'!$D$6:$O$36,12,FALSE),"")</f>
        <v>6</v>
      </c>
      <c r="K21" s="138">
        <f>(I21+J21)</f>
        <v>6</v>
      </c>
      <c r="L21" s="135"/>
      <c r="M21" s="135"/>
      <c r="N21" s="138"/>
      <c r="O21" s="135"/>
      <c r="P21" s="135"/>
      <c r="Q21" s="138"/>
      <c r="R21" s="135"/>
      <c r="S21" s="135"/>
      <c r="T21" s="138"/>
      <c r="U21" s="135"/>
      <c r="V21" s="135"/>
      <c r="W21" s="138"/>
      <c r="X21" s="139">
        <f t="shared" si="2"/>
        <v>16</v>
      </c>
      <c r="Y21" s="140" t="str">
        <f t="shared" si="3"/>
        <v>No</v>
      </c>
      <c r="Z21" s="141">
        <f t="shared" si="4"/>
        <v>2</v>
      </c>
      <c r="AB21" s="261" t="str">
        <f>IFERROR(VLOOKUP(C21,Tabla15[[Piloto]:[Puntos clase]],6, FALSE), " ")</f>
        <v>2RM</v>
      </c>
    </row>
    <row r="22" spans="2:28" ht="12.75" customHeight="1" x14ac:dyDescent="0.3">
      <c r="B22" s="133">
        <v>17</v>
      </c>
      <c r="C22" s="142" t="s">
        <v>626</v>
      </c>
      <c r="D22" s="482">
        <f>IFERROR(VLOOKUP(C22,Tabla15[[Piloto]:[Puntos clase]],7, FALSE), " ")</f>
        <v>5</v>
      </c>
      <c r="E22" s="482" t="str">
        <f>LEFT(AB22,LEN(AB22)-2)</f>
        <v>4</v>
      </c>
      <c r="F22" s="135">
        <v>0</v>
      </c>
      <c r="G22" s="135">
        <v>0</v>
      </c>
      <c r="H22" s="138">
        <f>(F22+G22)</f>
        <v>0</v>
      </c>
      <c r="I22" s="135">
        <f>IFERROR(VLOOKUP(C22,'02_TCT GUADAMUR'!$D$6:$M$36,10,FALSE),"")</f>
        <v>4</v>
      </c>
      <c r="J22" s="135">
        <f>IFERROR(VLOOKUP(C22,'02_TCT GUADAMUR'!$D$6:$O$36,12,FALSE),"")</f>
        <v>8</v>
      </c>
      <c r="K22" s="138">
        <f>(I22+J22)</f>
        <v>12</v>
      </c>
      <c r="L22" s="135"/>
      <c r="M22" s="135"/>
      <c r="N22" s="138"/>
      <c r="O22" s="135"/>
      <c r="P22" s="135"/>
      <c r="Q22" s="138"/>
      <c r="R22" s="135"/>
      <c r="S22" s="135"/>
      <c r="T22" s="138"/>
      <c r="U22" s="135"/>
      <c r="V22" s="135"/>
      <c r="W22" s="138"/>
      <c r="X22" s="139">
        <f t="shared" si="2"/>
        <v>12</v>
      </c>
      <c r="Y22" s="140" t="str">
        <f t="shared" si="3"/>
        <v>No</v>
      </c>
      <c r="Z22" s="141">
        <f t="shared" si="4"/>
        <v>2</v>
      </c>
      <c r="AB22" s="261" t="str">
        <f>IFERROR(VLOOKUP(C22,Tabla15[[Piloto]:[Puntos clase]],6, FALSE), " ")</f>
        <v>4RM</v>
      </c>
    </row>
    <row r="23" spans="2:28" ht="12.75" customHeight="1" x14ac:dyDescent="0.3">
      <c r="B23" s="133">
        <v>18</v>
      </c>
      <c r="C23" s="142" t="s">
        <v>671</v>
      </c>
      <c r="D23" s="482">
        <v>3</v>
      </c>
      <c r="E23" s="482">
        <v>2</v>
      </c>
      <c r="F23" s="135"/>
      <c r="G23" s="135"/>
      <c r="H23" s="138"/>
      <c r="I23" s="135">
        <f>IFERROR(VLOOKUP(C23,'02_TCT GUADAMUR'!$D$6:$M$36,10,FALSE),"")</f>
        <v>5</v>
      </c>
      <c r="J23" s="135">
        <f>IFERROR(VLOOKUP(C23,'02_TCT GUADAMUR'!$D$6:$O$36,12,FALSE),"")</f>
        <v>6</v>
      </c>
      <c r="K23" s="138">
        <f>(I23+J23)</f>
        <v>11</v>
      </c>
      <c r="L23" s="135"/>
      <c r="M23" s="135"/>
      <c r="N23" s="138"/>
      <c r="O23" s="135"/>
      <c r="P23" s="135"/>
      <c r="Q23" s="138"/>
      <c r="R23" s="135"/>
      <c r="S23" s="135"/>
      <c r="T23" s="138"/>
      <c r="U23" s="135"/>
      <c r="V23" s="135"/>
      <c r="W23" s="138"/>
      <c r="X23" s="139">
        <f t="shared" si="2"/>
        <v>11</v>
      </c>
      <c r="Y23" s="140" t="str">
        <f t="shared" si="3"/>
        <v>No</v>
      </c>
      <c r="Z23" s="141">
        <f t="shared" si="4"/>
        <v>1</v>
      </c>
      <c r="AB23" s="261" t="str">
        <f>IFERROR(VLOOKUP(C23,Tabla15[[Piloto]:[Puntos clase]],6, FALSE), " ")</f>
        <v xml:space="preserve"> </v>
      </c>
    </row>
    <row r="24" spans="2:28" ht="12.75" customHeight="1" x14ac:dyDescent="0.3">
      <c r="B24" s="133">
        <v>19</v>
      </c>
      <c r="C24" s="142" t="s">
        <v>601</v>
      </c>
      <c r="D24" s="482">
        <f>IFERROR(VLOOKUP(C24,Tabla15[[Piloto]:[Puntos clase]],7, FALSE), " ")</f>
        <v>3</v>
      </c>
      <c r="E24" s="482" t="str">
        <f>LEFT(AB24,LEN(AB24)-2)</f>
        <v>2</v>
      </c>
      <c r="F24" s="135">
        <f>IFERROR(VLOOKUP(C24,'01_RS ALCARRIA'!$D$6:$M$36,10,FALSE),"")</f>
        <v>1</v>
      </c>
      <c r="G24" s="135">
        <f>IFERROR(VLOOKUP(C24,'01_RS ALCARRIA'!$D$6:$O$36,12,FALSE),"")</f>
        <v>3</v>
      </c>
      <c r="H24" s="138">
        <f>(F24+G24)*2</f>
        <v>8</v>
      </c>
      <c r="I24" s="135"/>
      <c r="J24" s="135"/>
      <c r="K24" s="138"/>
      <c r="L24" s="135"/>
      <c r="M24" s="135"/>
      <c r="N24" s="138"/>
      <c r="O24" s="135"/>
      <c r="P24" s="135"/>
      <c r="Q24" s="138"/>
      <c r="R24" s="135"/>
      <c r="S24" s="135"/>
      <c r="T24" s="138"/>
      <c r="U24" s="135"/>
      <c r="V24" s="135"/>
      <c r="W24" s="138"/>
      <c r="X24" s="139">
        <f t="shared" si="2"/>
        <v>8</v>
      </c>
      <c r="Y24" s="140" t="str">
        <f t="shared" si="3"/>
        <v>No</v>
      </c>
      <c r="Z24" s="141">
        <f t="shared" si="4"/>
        <v>1</v>
      </c>
      <c r="AB24" s="261" t="str">
        <f>IFERROR(VLOOKUP(C24,Tabla15[[Piloto]:[Puntos clase]],6, FALSE), " ")</f>
        <v>2RM</v>
      </c>
    </row>
    <row r="25" spans="2:28" ht="12.75" customHeight="1" x14ac:dyDescent="0.3">
      <c r="B25" s="133">
        <v>20</v>
      </c>
      <c r="C25" s="142" t="s">
        <v>408</v>
      </c>
      <c r="D25" s="482">
        <f>IFERROR(VLOOKUP(C25,Tabla15[[Piloto]:[Puntos clase]],7, FALSE), " ")</f>
        <v>5</v>
      </c>
      <c r="E25" s="482" t="str">
        <f>LEFT(AB25,LEN(AB25)-2)</f>
        <v>2</v>
      </c>
      <c r="F25" s="135">
        <v>0</v>
      </c>
      <c r="G25" s="135">
        <v>0</v>
      </c>
      <c r="H25" s="138">
        <f>(F25+G25)</f>
        <v>0</v>
      </c>
      <c r="I25" s="135">
        <f>IFERROR(VLOOKUP(C25,'02_TCT GUADAMUR'!$D$6:$M$36,10,FALSE),"")</f>
        <v>0</v>
      </c>
      <c r="J25" s="135">
        <f>IFERROR(VLOOKUP(C25,'02_TCT GUADAMUR'!$D$6:$O$36,12,FALSE),"")</f>
        <v>6</v>
      </c>
      <c r="K25" s="138">
        <f t="shared" ref="K25:K31" si="5">(I25+J25)</f>
        <v>6</v>
      </c>
      <c r="L25" s="135"/>
      <c r="M25" s="135"/>
      <c r="N25" s="138"/>
      <c r="O25" s="135"/>
      <c r="P25" s="135"/>
      <c r="Q25" s="138"/>
      <c r="R25" s="135"/>
      <c r="S25" s="135"/>
      <c r="T25" s="138"/>
      <c r="U25" s="135"/>
      <c r="V25" s="135"/>
      <c r="W25" s="138"/>
      <c r="X25" s="139">
        <f t="shared" si="2"/>
        <v>6</v>
      </c>
      <c r="Y25" s="140" t="str">
        <f t="shared" si="3"/>
        <v>No</v>
      </c>
      <c r="Z25" s="141">
        <f t="shared" si="4"/>
        <v>2</v>
      </c>
      <c r="AB25" s="261" t="str">
        <f>IFERROR(VLOOKUP(C25,Tabla15[[Piloto]:[Puntos clase]],6, FALSE), " ")</f>
        <v>2RM</v>
      </c>
    </row>
    <row r="26" spans="2:28" ht="13" x14ac:dyDescent="0.3">
      <c r="B26" s="133">
        <v>21</v>
      </c>
      <c r="C26" s="142" t="s">
        <v>606</v>
      </c>
      <c r="D26" s="482">
        <v>3</v>
      </c>
      <c r="E26" s="482">
        <v>2</v>
      </c>
      <c r="F26" s="135">
        <f>IFERROR(VLOOKUP(C26,'01_RS ALCARRIA'!$D$6:$M$36,10,FALSE),"")</f>
        <v>0</v>
      </c>
      <c r="G26" s="135">
        <f>IFERROR(VLOOKUP(C26,'01_RS ALCARRIA'!$D$6:$O$36,12,FALSE),"")</f>
        <v>0</v>
      </c>
      <c r="H26" s="138">
        <f>(F26+G26)*2</f>
        <v>0</v>
      </c>
      <c r="I26" s="135">
        <f>IFERROR(VLOOKUP(C26,'02_TCT GUADAMUR'!$D$6:$M$36,10,FALSE),"")</f>
        <v>2</v>
      </c>
      <c r="J26" s="135">
        <f>IFERROR(VLOOKUP(C26,'02_TCT GUADAMUR'!$D$6:$O$36,12,FALSE),"")</f>
        <v>3</v>
      </c>
      <c r="K26" s="138">
        <f t="shared" si="5"/>
        <v>5</v>
      </c>
      <c r="L26" s="135"/>
      <c r="M26" s="135"/>
      <c r="N26" s="138"/>
      <c r="O26" s="135"/>
      <c r="P26" s="135"/>
      <c r="Q26" s="138"/>
      <c r="R26" s="135"/>
      <c r="S26" s="135"/>
      <c r="T26" s="138"/>
      <c r="U26" s="135"/>
      <c r="V26" s="135"/>
      <c r="W26" s="138"/>
      <c r="X26" s="139">
        <f t="shared" si="2"/>
        <v>5</v>
      </c>
      <c r="Y26" s="140" t="str">
        <f t="shared" si="3"/>
        <v>No</v>
      </c>
      <c r="Z26" s="141">
        <f t="shared" si="4"/>
        <v>2</v>
      </c>
      <c r="AB26" s="261" t="str">
        <f>IFERROR(VLOOKUP(C26,Tabla15[[Piloto]:[Puntos clase]],6, FALSE), " ")</f>
        <v>2RM</v>
      </c>
    </row>
    <row r="27" spans="2:28" ht="13" x14ac:dyDescent="0.3">
      <c r="B27" s="133">
        <v>21</v>
      </c>
      <c r="C27" s="142" t="s">
        <v>674</v>
      </c>
      <c r="D27" s="482">
        <v>2</v>
      </c>
      <c r="E27" s="482">
        <v>2</v>
      </c>
      <c r="F27" s="135"/>
      <c r="G27" s="135"/>
      <c r="H27" s="138"/>
      <c r="I27" s="135">
        <f>IFERROR(VLOOKUP(C27,'02_TCT GUADAMUR'!$D$6:$M$36,10,FALSE),"")</f>
        <v>0</v>
      </c>
      <c r="J27" s="135">
        <f>IFERROR(VLOOKUP(C27,'02_TCT GUADAMUR'!$D$6:$O$36,12,FALSE),"")</f>
        <v>5</v>
      </c>
      <c r="K27" s="138">
        <f t="shared" si="5"/>
        <v>5</v>
      </c>
      <c r="L27" s="135"/>
      <c r="M27" s="135"/>
      <c r="N27" s="138"/>
      <c r="O27" s="135"/>
      <c r="P27" s="135"/>
      <c r="Q27" s="138"/>
      <c r="R27" s="135"/>
      <c r="S27" s="135"/>
      <c r="T27" s="138"/>
      <c r="U27" s="135"/>
      <c r="V27" s="135"/>
      <c r="W27" s="138"/>
      <c r="X27" s="139">
        <f t="shared" si="2"/>
        <v>5</v>
      </c>
      <c r="Y27" s="140" t="str">
        <f t="shared" si="3"/>
        <v>No</v>
      </c>
      <c r="Z27" s="141">
        <f t="shared" si="4"/>
        <v>1</v>
      </c>
      <c r="AB27" s="261" t="str">
        <f>IFERROR(VLOOKUP(C27,Tabla15[[Piloto]:[Puntos clase]],6, FALSE), " ")</f>
        <v xml:space="preserve"> </v>
      </c>
    </row>
    <row r="28" spans="2:28" ht="13" x14ac:dyDescent="0.3">
      <c r="B28" s="133">
        <v>23</v>
      </c>
      <c r="C28" s="142" t="s">
        <v>676</v>
      </c>
      <c r="D28" s="482">
        <v>4</v>
      </c>
      <c r="E28" s="482">
        <v>2</v>
      </c>
      <c r="F28" s="135"/>
      <c r="G28" s="135"/>
      <c r="H28" s="138"/>
      <c r="I28" s="135">
        <f>IFERROR(VLOOKUP(C28,'02_TCT GUADAMUR'!$D$6:$M$36,10,FALSE),"")</f>
        <v>0</v>
      </c>
      <c r="J28" s="135">
        <f>IFERROR(VLOOKUP(C28,'02_TCT GUADAMUR'!$D$6:$O$36,12,FALSE),"")</f>
        <v>3</v>
      </c>
      <c r="K28" s="138">
        <f t="shared" si="5"/>
        <v>3</v>
      </c>
      <c r="L28" s="135"/>
      <c r="M28" s="135"/>
      <c r="N28" s="138"/>
      <c r="O28" s="135"/>
      <c r="P28" s="135"/>
      <c r="Q28" s="138"/>
      <c r="R28" s="135"/>
      <c r="S28" s="135"/>
      <c r="T28" s="138"/>
      <c r="U28" s="135"/>
      <c r="V28" s="135"/>
      <c r="W28" s="138"/>
      <c r="X28" s="139">
        <f t="shared" si="2"/>
        <v>3</v>
      </c>
      <c r="Y28" s="140" t="str">
        <f t="shared" si="3"/>
        <v>No</v>
      </c>
      <c r="Z28" s="141">
        <f t="shared" si="4"/>
        <v>1</v>
      </c>
      <c r="AB28" s="261" t="str">
        <f>IFERROR(VLOOKUP(C28,Tabla15[[Piloto]:[Puntos clase]],6, FALSE), " ")</f>
        <v xml:space="preserve"> </v>
      </c>
    </row>
    <row r="29" spans="2:28" ht="13" x14ac:dyDescent="0.3">
      <c r="B29" s="133">
        <v>24</v>
      </c>
      <c r="C29" s="142" t="s">
        <v>604</v>
      </c>
      <c r="D29" s="482">
        <f>IFERROR(VLOOKUP(C29,Tabla15[[Piloto]:[Puntos clase]],7, FALSE), " ")</f>
        <v>3</v>
      </c>
      <c r="E29" s="482" t="str">
        <f t="shared" ref="E29:E34" si="6">LEFT(AB29,LEN(AB29)-2)</f>
        <v>2</v>
      </c>
      <c r="F29" s="135">
        <f>IFERROR(VLOOKUP(C29,'01_RS ALCARRIA'!$D$6:$M$36,10,FALSE),"")</f>
        <v>0</v>
      </c>
      <c r="G29" s="135">
        <f>IFERROR(VLOOKUP(C29,'01_RS ALCARRIA'!$D$6:$O$36,12,FALSE),"")</f>
        <v>1</v>
      </c>
      <c r="H29" s="138">
        <f>(F29+G29)*2</f>
        <v>2</v>
      </c>
      <c r="I29" s="135">
        <f>IFERROR(VLOOKUP(C29,'02_TCT GUADAMUR'!$D$6:$M$36,10,FALSE),"")</f>
        <v>0</v>
      </c>
      <c r="J29" s="135">
        <f>IFERROR(VLOOKUP(C29,'02_TCT GUADAMUR'!$D$6:$O$36,12,FALSE),"")</f>
        <v>0</v>
      </c>
      <c r="K29" s="138">
        <f t="shared" si="5"/>
        <v>0</v>
      </c>
      <c r="L29" s="135"/>
      <c r="M29" s="135"/>
      <c r="N29" s="138"/>
      <c r="O29" s="135"/>
      <c r="P29" s="135"/>
      <c r="Q29" s="138"/>
      <c r="R29" s="135"/>
      <c r="S29" s="135"/>
      <c r="T29" s="138"/>
      <c r="U29" s="135"/>
      <c r="V29" s="135"/>
      <c r="W29" s="138"/>
      <c r="X29" s="139">
        <f t="shared" si="2"/>
        <v>2</v>
      </c>
      <c r="Y29" s="140" t="str">
        <f t="shared" si="3"/>
        <v>No</v>
      </c>
      <c r="Z29" s="141">
        <f t="shared" si="4"/>
        <v>2</v>
      </c>
      <c r="AB29" s="261" t="str">
        <f>IFERROR(VLOOKUP(C29,Tabla15[[Piloto]:[Puntos clase]],6, FALSE), " ")</f>
        <v>2RM</v>
      </c>
    </row>
    <row r="30" spans="2:28" ht="13" x14ac:dyDescent="0.3">
      <c r="B30" s="133">
        <v>25</v>
      </c>
      <c r="C30" s="134" t="s">
        <v>610</v>
      </c>
      <c r="D30" s="482">
        <f>IFERROR(VLOOKUP(C30,Tabla15[[Piloto]:[Puntos clase]],7, FALSE), " ")</f>
        <v>3</v>
      </c>
      <c r="E30" s="482" t="str">
        <f t="shared" si="6"/>
        <v>2</v>
      </c>
      <c r="F30" s="135">
        <f>IFERROR(VLOOKUP(C30,'01_RS ALCARRIA'!$D$6:$M$36,10,FALSE),"")</f>
        <v>0</v>
      </c>
      <c r="G30" s="135">
        <f>IFERROR(VLOOKUP(C30,'01_RS ALCARRIA'!$D$6:$O$36,12,FALSE),"")</f>
        <v>0</v>
      </c>
      <c r="H30" s="138">
        <f>(F30+G30)*2</f>
        <v>0</v>
      </c>
      <c r="I30" s="135">
        <f>IFERROR(VLOOKUP(C30,'02_TCT GUADAMUR'!$D$6:$M$36,10,FALSE),"")</f>
        <v>0</v>
      </c>
      <c r="J30" s="135">
        <f>IFERROR(VLOOKUP(C30,'02_TCT GUADAMUR'!$D$6:$O$36,12,FALSE),"")</f>
        <v>1</v>
      </c>
      <c r="K30" s="138">
        <f t="shared" si="5"/>
        <v>1</v>
      </c>
      <c r="L30" s="135"/>
      <c r="M30" s="135"/>
      <c r="N30" s="138"/>
      <c r="O30" s="135"/>
      <c r="P30" s="135"/>
      <c r="Q30" s="138"/>
      <c r="R30" s="135"/>
      <c r="S30" s="135"/>
      <c r="T30" s="138"/>
      <c r="U30" s="135"/>
      <c r="V30" s="135"/>
      <c r="W30" s="138"/>
      <c r="X30" s="139">
        <f t="shared" si="2"/>
        <v>1</v>
      </c>
      <c r="Y30" s="140" t="str">
        <f t="shared" si="3"/>
        <v>No</v>
      </c>
      <c r="Z30" s="141">
        <f t="shared" si="4"/>
        <v>2</v>
      </c>
      <c r="AB30" s="261" t="str">
        <f>IFERROR(VLOOKUP(C30,Tabla15[[Piloto]:[Puntos clase]],6, FALSE), " ")</f>
        <v>2RM</v>
      </c>
    </row>
    <row r="31" spans="2:28" ht="13" x14ac:dyDescent="0.3">
      <c r="B31" s="133" t="s">
        <v>658</v>
      </c>
      <c r="C31" s="142" t="s">
        <v>607</v>
      </c>
      <c r="D31" s="482">
        <f>IFERROR(VLOOKUP(C31,Tabla15[[Piloto]:[Puntos clase]],7, FALSE), " ")</f>
        <v>3</v>
      </c>
      <c r="E31" s="482" t="str">
        <f t="shared" si="6"/>
        <v>2</v>
      </c>
      <c r="F31" s="135">
        <f>IFERROR(VLOOKUP(C31,'01_RS ALCARRIA'!$D$6:$M$36,10,FALSE),"")</f>
        <v>0</v>
      </c>
      <c r="G31" s="135">
        <f>IFERROR(VLOOKUP(C31,'01_RS ALCARRIA'!$D$6:$O$36,12,FALSE),"")</f>
        <v>0</v>
      </c>
      <c r="H31" s="138">
        <f>(F31+G31)*2</f>
        <v>0</v>
      </c>
      <c r="I31" s="135">
        <f>IFERROR(VLOOKUP(C31,'02_TCT GUADAMUR'!$D$6:$M$36,10,FALSE),"")</f>
        <v>0</v>
      </c>
      <c r="J31" s="135">
        <f>IFERROR(VLOOKUP(C31,'02_TCT GUADAMUR'!$D$6:$O$36,12,FALSE),"")</f>
        <v>0</v>
      </c>
      <c r="K31" s="138">
        <f t="shared" si="5"/>
        <v>0</v>
      </c>
      <c r="L31" s="135"/>
      <c r="M31" s="135"/>
      <c r="N31" s="138"/>
      <c r="O31" s="135"/>
      <c r="P31" s="135"/>
      <c r="Q31" s="138"/>
      <c r="R31" s="135"/>
      <c r="S31" s="135"/>
      <c r="T31" s="138"/>
      <c r="U31" s="135"/>
      <c r="V31" s="135"/>
      <c r="W31" s="138"/>
      <c r="X31" s="139">
        <f t="shared" si="2"/>
        <v>0</v>
      </c>
      <c r="Y31" s="140" t="str">
        <f t="shared" si="3"/>
        <v>No</v>
      </c>
      <c r="Z31" s="141">
        <f t="shared" si="4"/>
        <v>2</v>
      </c>
      <c r="AB31" s="261" t="str">
        <f>IFERROR(VLOOKUP(C31,Tabla15[[Piloto]:[Puntos clase]],6, FALSE), " ")</f>
        <v>2RM</v>
      </c>
    </row>
    <row r="32" spans="2:28" ht="13" x14ac:dyDescent="0.3">
      <c r="B32" s="133" t="s">
        <v>658</v>
      </c>
      <c r="C32" s="142" t="s">
        <v>319</v>
      </c>
      <c r="D32" s="482">
        <f>IFERROR(VLOOKUP(C32,Tabla15[[Piloto]:[Puntos clase]],7, FALSE), " ")</f>
        <v>3</v>
      </c>
      <c r="E32" s="482" t="str">
        <f t="shared" si="6"/>
        <v>2</v>
      </c>
      <c r="F32" s="135">
        <f>IFERROR(VLOOKUP(C32,'01_RS ALCARRIA'!$D$6:$M$36,10,FALSE),"")</f>
        <v>0</v>
      </c>
      <c r="G32" s="135">
        <f>IFERROR(VLOOKUP(C32,'01_RS ALCARRIA'!$D$6:$O$36,12,FALSE),"")</f>
        <v>0</v>
      </c>
      <c r="H32" s="138">
        <f>(F32+G32)*2</f>
        <v>0</v>
      </c>
      <c r="I32" s="135"/>
      <c r="J32" s="135"/>
      <c r="K32" s="138"/>
      <c r="L32" s="135"/>
      <c r="M32" s="135"/>
      <c r="N32" s="138"/>
      <c r="O32" s="135"/>
      <c r="P32" s="135"/>
      <c r="Q32" s="138"/>
      <c r="R32" s="135"/>
      <c r="S32" s="135"/>
      <c r="T32" s="138"/>
      <c r="U32" s="135"/>
      <c r="V32" s="135"/>
      <c r="W32" s="138"/>
      <c r="X32" s="139">
        <f t="shared" si="2"/>
        <v>0</v>
      </c>
      <c r="Y32" s="140" t="str">
        <f t="shared" si="3"/>
        <v>No</v>
      </c>
      <c r="Z32" s="141">
        <f t="shared" si="4"/>
        <v>1</v>
      </c>
      <c r="AB32" s="261" t="str">
        <f>IFERROR(VLOOKUP(C32,Tabla15[[Piloto]:[Puntos clase]],6, FALSE), " ")</f>
        <v>2RM</v>
      </c>
    </row>
    <row r="33" spans="2:29" ht="13" x14ac:dyDescent="0.3">
      <c r="B33" s="133" t="s">
        <v>658</v>
      </c>
      <c r="C33" s="142" t="s">
        <v>619</v>
      </c>
      <c r="D33" s="482">
        <f>IFERROR(VLOOKUP(C33,Tabla15[[Piloto]:[Puntos clase]],7, FALSE), " ")</f>
        <v>3</v>
      </c>
      <c r="E33" s="482" t="str">
        <f t="shared" si="6"/>
        <v>2</v>
      </c>
      <c r="F33" s="135">
        <f>IFERROR(VLOOKUP(C33,'01_RS ALCARRIA'!$D$6:$M$36,10,FALSE),"")</f>
        <v>0</v>
      </c>
      <c r="G33" s="135">
        <f>IFERROR(VLOOKUP(C33,'01_RS ALCARRIA'!$D$6:$O$36,12,FALSE),"")</f>
        <v>0</v>
      </c>
      <c r="H33" s="138">
        <f>(F33+G33)*2</f>
        <v>0</v>
      </c>
      <c r="I33" s="135"/>
      <c r="J33" s="135"/>
      <c r="K33" s="138"/>
      <c r="L33" s="135"/>
      <c r="M33" s="135"/>
      <c r="N33" s="138"/>
      <c r="O33" s="135"/>
      <c r="P33" s="284"/>
      <c r="Q33" s="138"/>
      <c r="R33" s="135"/>
      <c r="S33" s="135"/>
      <c r="T33" s="138"/>
      <c r="U33" s="135"/>
      <c r="V33" s="135"/>
      <c r="W33" s="138"/>
      <c r="X33" s="139">
        <f t="shared" si="2"/>
        <v>0</v>
      </c>
      <c r="Y33" s="140" t="str">
        <f t="shared" si="3"/>
        <v>No</v>
      </c>
      <c r="Z33" s="141">
        <f t="shared" si="4"/>
        <v>1</v>
      </c>
      <c r="AB33" s="261" t="str">
        <f>IFERROR(VLOOKUP(C33,Tabla15[[Piloto]:[Puntos clase]],6, FALSE), " ")</f>
        <v>2RM</v>
      </c>
    </row>
    <row r="34" spans="2:29" ht="13" x14ac:dyDescent="0.3">
      <c r="B34" s="133" t="s">
        <v>658</v>
      </c>
      <c r="C34" s="142" t="s">
        <v>628</v>
      </c>
      <c r="D34" s="482">
        <f>IFERROR(VLOOKUP(C34,Tabla15[[Piloto]:[Puntos clase]],7, FALSE), " ")</f>
        <v>2</v>
      </c>
      <c r="E34" s="482" t="str">
        <f t="shared" si="6"/>
        <v>2</v>
      </c>
      <c r="F34" s="135">
        <v>0</v>
      </c>
      <c r="G34" s="135">
        <v>0</v>
      </c>
      <c r="H34" s="138">
        <f>(F34+G34)</f>
        <v>0</v>
      </c>
      <c r="I34" s="135">
        <v>0</v>
      </c>
      <c r="J34" s="135">
        <v>0</v>
      </c>
      <c r="K34" s="138">
        <f>(I34+J34)</f>
        <v>0</v>
      </c>
      <c r="L34" s="135"/>
      <c r="M34" s="135"/>
      <c r="N34" s="138"/>
      <c r="O34" s="135"/>
      <c r="P34" s="135"/>
      <c r="Q34" s="138"/>
      <c r="R34" s="135"/>
      <c r="S34" s="135"/>
      <c r="T34" s="138"/>
      <c r="U34" s="135"/>
      <c r="V34" s="135"/>
      <c r="W34" s="138"/>
      <c r="X34" s="139">
        <f t="shared" si="2"/>
        <v>0</v>
      </c>
      <c r="Y34" s="140" t="str">
        <f t="shared" si="3"/>
        <v>No</v>
      </c>
      <c r="Z34" s="141">
        <f t="shared" si="4"/>
        <v>2</v>
      </c>
      <c r="AB34" s="261" t="str">
        <f>IFERROR(VLOOKUP(C34,Tabla15[[Piloto]:[Puntos clase]],6, FALSE), " ")</f>
        <v>2RM</v>
      </c>
    </row>
    <row r="35" spans="2:29" ht="13" x14ac:dyDescent="0.3">
      <c r="B35" s="133" t="s">
        <v>658</v>
      </c>
      <c r="C35" s="142" t="s">
        <v>632</v>
      </c>
      <c r="D35" s="482">
        <v>3</v>
      </c>
      <c r="E35" s="482">
        <v>2</v>
      </c>
      <c r="F35" s="135">
        <v>0</v>
      </c>
      <c r="G35" s="135">
        <v>0</v>
      </c>
      <c r="H35" s="138">
        <f>(F35+G35)</f>
        <v>0</v>
      </c>
      <c r="I35" s="135"/>
      <c r="J35" s="135"/>
      <c r="K35" s="138"/>
      <c r="L35" s="135"/>
      <c r="M35" s="135"/>
      <c r="N35" s="138"/>
      <c r="O35" s="135"/>
      <c r="P35" s="135"/>
      <c r="Q35" s="138"/>
      <c r="R35" s="135"/>
      <c r="S35" s="135"/>
      <c r="T35" s="138"/>
      <c r="U35" s="135"/>
      <c r="V35" s="135"/>
      <c r="W35" s="138"/>
      <c r="X35" s="139">
        <f t="shared" si="2"/>
        <v>0</v>
      </c>
      <c r="Y35" s="140" t="str">
        <f t="shared" si="3"/>
        <v>No</v>
      </c>
      <c r="Z35" s="141">
        <f t="shared" si="4"/>
        <v>1</v>
      </c>
      <c r="AB35" s="261" t="str">
        <f>IFERROR(VLOOKUP(C35,Tabla15[[Piloto]:[Puntos clase]],6, FALSE), " ")</f>
        <v>2RM</v>
      </c>
    </row>
    <row r="36" spans="2:29" ht="13" x14ac:dyDescent="0.3">
      <c r="B36" s="133" t="s">
        <v>658</v>
      </c>
      <c r="C36" s="142" t="s">
        <v>635</v>
      </c>
      <c r="D36" s="482">
        <f>IFERROR(VLOOKUP(C36,Tabla15[[Piloto]:[Puntos clase]],7, FALSE), " ")</f>
        <v>5</v>
      </c>
      <c r="E36" s="482">
        <v>2</v>
      </c>
      <c r="F36" s="135">
        <v>0</v>
      </c>
      <c r="G36" s="135">
        <v>0</v>
      </c>
      <c r="H36" s="138">
        <f>(F36+G36)</f>
        <v>0</v>
      </c>
      <c r="I36" s="135"/>
      <c r="J36" s="135"/>
      <c r="K36" s="138"/>
      <c r="L36" s="135"/>
      <c r="M36" s="135"/>
      <c r="N36" s="138"/>
      <c r="O36" s="135"/>
      <c r="P36" s="135"/>
      <c r="Q36" s="138"/>
      <c r="R36" s="135"/>
      <c r="S36" s="135"/>
      <c r="T36" s="138"/>
      <c r="U36" s="135"/>
      <c r="V36" s="135"/>
      <c r="W36" s="138"/>
      <c r="X36" s="139">
        <f t="shared" si="2"/>
        <v>0</v>
      </c>
      <c r="Y36" s="140" t="str">
        <f t="shared" si="3"/>
        <v>No</v>
      </c>
      <c r="Z36" s="141">
        <f t="shared" si="4"/>
        <v>1</v>
      </c>
      <c r="AB36" s="261" t="str">
        <f>IFERROR(VLOOKUP(C36,Tabla15[[Piloto]:[Puntos clase]],6, FALSE), " ")</f>
        <v>2RM</v>
      </c>
    </row>
    <row r="37" spans="2:29" ht="13" x14ac:dyDescent="0.3">
      <c r="B37" s="133" t="s">
        <v>658</v>
      </c>
      <c r="C37" s="142" t="s">
        <v>637</v>
      </c>
      <c r="D37" s="482">
        <f>IFERROR(VLOOKUP(C37,Tabla15[[Piloto]:[Puntos clase]],7, FALSE), " ")</f>
        <v>4</v>
      </c>
      <c r="E37" s="482">
        <v>2</v>
      </c>
      <c r="F37" s="135">
        <v>0</v>
      </c>
      <c r="G37" s="135">
        <v>0</v>
      </c>
      <c r="H37" s="138">
        <f>(F37+G37)</f>
        <v>0</v>
      </c>
      <c r="I37" s="135"/>
      <c r="J37" s="135"/>
      <c r="K37" s="138"/>
      <c r="L37" s="135"/>
      <c r="M37" s="135"/>
      <c r="N37" s="138"/>
      <c r="O37" s="135"/>
      <c r="P37" s="135"/>
      <c r="Q37" s="138"/>
      <c r="R37" s="135"/>
      <c r="S37" s="135"/>
      <c r="T37" s="138"/>
      <c r="U37" s="135"/>
      <c r="V37" s="135"/>
      <c r="W37" s="138"/>
      <c r="X37" s="139">
        <f t="shared" si="2"/>
        <v>0</v>
      </c>
      <c r="Y37" s="140" t="str">
        <f t="shared" si="3"/>
        <v>No</v>
      </c>
      <c r="Z37" s="141">
        <f t="shared" si="4"/>
        <v>1</v>
      </c>
      <c r="AB37" s="261" t="str">
        <f>IFERROR(VLOOKUP(C37,Tabla15[[Piloto]:[Puntos clase]],6, FALSE), " ")</f>
        <v>2RM</v>
      </c>
    </row>
    <row r="38" spans="2:29" ht="13" x14ac:dyDescent="0.3">
      <c r="B38" s="133" t="s">
        <v>658</v>
      </c>
      <c r="C38" s="142" t="s">
        <v>238</v>
      </c>
      <c r="D38" s="482">
        <v>1</v>
      </c>
      <c r="E38" s="482">
        <v>4</v>
      </c>
      <c r="F38" s="135"/>
      <c r="G38" s="135"/>
      <c r="H38" s="138"/>
      <c r="I38" s="135">
        <v>0</v>
      </c>
      <c r="J38" s="135">
        <v>0</v>
      </c>
      <c r="K38" s="138">
        <f>(I38+J38)</f>
        <v>0</v>
      </c>
      <c r="L38" s="135"/>
      <c r="M38" s="135"/>
      <c r="N38" s="138"/>
      <c r="O38" s="135"/>
      <c r="P38" s="135"/>
      <c r="Q38" s="138"/>
      <c r="R38" s="135"/>
      <c r="S38" s="135"/>
      <c r="T38" s="138"/>
      <c r="U38" s="135"/>
      <c r="V38" s="135"/>
      <c r="W38" s="138"/>
      <c r="X38" s="139">
        <f t="shared" si="2"/>
        <v>0</v>
      </c>
      <c r="Y38" s="140" t="str">
        <f t="shared" si="3"/>
        <v>No</v>
      </c>
      <c r="Z38" s="141">
        <f t="shared" si="4"/>
        <v>1</v>
      </c>
      <c r="AB38" s="261" t="str">
        <f>IFERROR(VLOOKUP(C38,Tabla15[[Piloto]:[Puntos clase]],6, FALSE), " ")</f>
        <v xml:space="preserve"> </v>
      </c>
    </row>
    <row r="39" spans="2:29" ht="13" x14ac:dyDescent="0.3">
      <c r="B39" s="133" t="s">
        <v>658</v>
      </c>
      <c r="C39" s="142" t="s">
        <v>678</v>
      </c>
      <c r="D39" s="482">
        <v>1</v>
      </c>
      <c r="E39" s="482">
        <v>4</v>
      </c>
      <c r="F39" s="135"/>
      <c r="G39" s="135"/>
      <c r="H39" s="138"/>
      <c r="I39" s="135">
        <v>0</v>
      </c>
      <c r="J39" s="135">
        <v>0</v>
      </c>
      <c r="K39" s="138">
        <f>(I39+J39)</f>
        <v>0</v>
      </c>
      <c r="L39" s="135"/>
      <c r="M39" s="135"/>
      <c r="N39" s="138"/>
      <c r="O39" s="135"/>
      <c r="P39" s="135"/>
      <c r="Q39" s="138"/>
      <c r="R39" s="135"/>
      <c r="S39" s="135"/>
      <c r="T39" s="138"/>
      <c r="U39" s="135"/>
      <c r="V39" s="135"/>
      <c r="W39" s="138"/>
      <c r="X39" s="139">
        <f t="shared" si="2"/>
        <v>0</v>
      </c>
      <c r="Y39" s="140" t="str">
        <f t="shared" si="3"/>
        <v>No</v>
      </c>
      <c r="Z39" s="141">
        <f t="shared" si="4"/>
        <v>1</v>
      </c>
    </row>
    <row r="40" spans="2:29" ht="13" x14ac:dyDescent="0.3">
      <c r="B40" s="133" t="s">
        <v>658</v>
      </c>
      <c r="C40" s="142" t="s">
        <v>680</v>
      </c>
      <c r="D40" s="482">
        <v>3</v>
      </c>
      <c r="E40" s="482">
        <v>2</v>
      </c>
      <c r="F40" s="135"/>
      <c r="G40" s="135"/>
      <c r="H40" s="138"/>
      <c r="I40" s="135">
        <v>0</v>
      </c>
      <c r="J40" s="135">
        <v>0</v>
      </c>
      <c r="K40" s="138">
        <f>(I40+J40)</f>
        <v>0</v>
      </c>
      <c r="L40" s="135"/>
      <c r="M40" s="135"/>
      <c r="N40" s="138"/>
      <c r="O40" s="135"/>
      <c r="P40" s="135"/>
      <c r="Q40" s="138"/>
      <c r="R40" s="135"/>
      <c r="S40" s="135"/>
      <c r="T40" s="138"/>
      <c r="U40" s="135"/>
      <c r="V40" s="135"/>
      <c r="W40" s="138"/>
      <c r="X40" s="139">
        <f t="shared" si="2"/>
        <v>0</v>
      </c>
      <c r="Y40" s="240"/>
      <c r="Z40" s="127"/>
    </row>
    <row r="41" spans="2:29" ht="13" x14ac:dyDescent="0.3">
      <c r="B41" s="133" t="s">
        <v>658</v>
      </c>
      <c r="C41" s="142" t="s">
        <v>683</v>
      </c>
      <c r="D41" s="482">
        <v>4</v>
      </c>
      <c r="E41" s="482">
        <v>2</v>
      </c>
      <c r="F41" s="135"/>
      <c r="G41" s="135"/>
      <c r="H41" s="138"/>
      <c r="I41" s="135">
        <v>0</v>
      </c>
      <c r="J41" s="135">
        <v>0</v>
      </c>
      <c r="K41" s="138">
        <f>(I41+J41)</f>
        <v>0</v>
      </c>
      <c r="L41" s="135"/>
      <c r="M41" s="135"/>
      <c r="N41" s="138"/>
      <c r="O41" s="135"/>
      <c r="P41" s="135"/>
      <c r="Q41" s="138"/>
      <c r="R41" s="135"/>
      <c r="S41" s="135"/>
      <c r="T41" s="138"/>
      <c r="U41" s="135"/>
      <c r="V41" s="135"/>
      <c r="W41" s="138"/>
      <c r="X41" s="139">
        <f t="shared" si="2"/>
        <v>0</v>
      </c>
      <c r="Y41" s="240"/>
      <c r="Z41" s="127"/>
    </row>
    <row r="42" spans="2:29" x14ac:dyDescent="0.3">
      <c r="B42" s="156"/>
      <c r="C42" s="3"/>
      <c r="D42" s="3"/>
      <c r="E42" s="3"/>
      <c r="F42" s="3"/>
      <c r="G42" s="3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2:29" ht="12" x14ac:dyDescent="0.3">
      <c r="B43" s="156"/>
      <c r="C43" s="3"/>
      <c r="D43" s="284"/>
      <c r="E43" s="285" t="s">
        <v>534</v>
      </c>
      <c r="F43" s="3"/>
      <c r="G43" s="3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2:29" ht="2.5" customHeight="1" x14ac:dyDescent="0.3">
      <c r="B44" s="1"/>
      <c r="C44" s="156"/>
      <c r="D44" s="2"/>
      <c r="E44" s="2"/>
      <c r="F44" s="2"/>
      <c r="G44" s="2"/>
      <c r="H44" s="3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5"/>
      <c r="AC44" s="2"/>
    </row>
    <row r="45" spans="2:29" ht="12.75" customHeight="1" x14ac:dyDescent="0.3">
      <c r="B45" s="1"/>
      <c r="C45" s="236"/>
      <c r="D45" s="142" t="s">
        <v>691</v>
      </c>
      <c r="E45" s="130" t="s">
        <v>692</v>
      </c>
      <c r="F45" s="2"/>
      <c r="G45" s="2"/>
      <c r="H45" s="3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5"/>
      <c r="AC45" s="2"/>
    </row>
    <row r="46" spans="2:29" ht="12.75" customHeight="1" x14ac:dyDescent="0.3">
      <c r="B46" s="1"/>
      <c r="C46" s="236"/>
      <c r="D46" s="155"/>
      <c r="E46" s="2"/>
      <c r="F46" s="2"/>
      <c r="G46" s="2"/>
      <c r="H46" s="3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5"/>
      <c r="AC46" s="2"/>
    </row>
    <row r="47" spans="2:29" ht="39" customHeight="1" x14ac:dyDescent="0.55000000000000004">
      <c r="B47" s="164" t="s">
        <v>516</v>
      </c>
      <c r="C47" s="165"/>
      <c r="D47" s="165"/>
      <c r="E47" s="165"/>
      <c r="F47" s="165"/>
      <c r="G47" s="165"/>
      <c r="H47" s="165"/>
      <c r="I47" s="165"/>
      <c r="J47" s="165"/>
      <c r="K47" s="165"/>
      <c r="L47" s="165"/>
      <c r="M47" s="165"/>
      <c r="N47" s="165"/>
      <c r="O47" s="165"/>
      <c r="P47" s="165"/>
      <c r="Q47" s="165"/>
      <c r="R47" s="165"/>
      <c r="S47" s="165"/>
      <c r="T47" s="165"/>
      <c r="U47" s="165"/>
      <c r="V47" s="165"/>
      <c r="W47" s="165"/>
      <c r="X47" s="165"/>
    </row>
    <row r="48" spans="2:29" ht="37.5" customHeight="1" x14ac:dyDescent="0.3">
      <c r="B48" s="166" t="s">
        <v>337</v>
      </c>
      <c r="C48" s="167"/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167"/>
      <c r="X48" s="167"/>
      <c r="Y48" s="30"/>
      <c r="Z48" s="30"/>
    </row>
    <row r="49" spans="2:29" ht="12.75" customHeight="1" x14ac:dyDescent="0.3">
      <c r="B49" s="162"/>
      <c r="C49" s="168"/>
      <c r="D49" s="161"/>
      <c r="E49" s="161"/>
      <c r="F49" s="222" t="s">
        <v>220</v>
      </c>
      <c r="G49" s="223"/>
      <c r="H49" s="224"/>
      <c r="I49" s="222" t="s">
        <v>663</v>
      </c>
      <c r="J49" s="225"/>
      <c r="K49" s="226"/>
      <c r="L49" s="222" t="s">
        <v>532</v>
      </c>
      <c r="M49" s="225"/>
      <c r="N49" s="226"/>
      <c r="O49" s="222" t="s">
        <v>526</v>
      </c>
      <c r="P49" s="225"/>
      <c r="Q49" s="226"/>
      <c r="R49" s="222" t="s">
        <v>287</v>
      </c>
      <c r="S49" s="225"/>
      <c r="T49" s="226"/>
      <c r="U49" s="413" t="s">
        <v>527</v>
      </c>
      <c r="V49" s="226"/>
      <c r="W49" s="226"/>
      <c r="X49" s="161" t="s">
        <v>213</v>
      </c>
      <c r="Y49" s="30"/>
      <c r="Z49" s="30"/>
    </row>
    <row r="50" spans="2:29" ht="12.75" customHeight="1" x14ac:dyDescent="0.3">
      <c r="B50" s="159" t="s">
        <v>0</v>
      </c>
      <c r="C50" s="170" t="s">
        <v>1</v>
      </c>
      <c r="D50" s="160" t="s">
        <v>2</v>
      </c>
      <c r="E50" s="160" t="s">
        <v>3</v>
      </c>
      <c r="F50" s="217" t="s">
        <v>523</v>
      </c>
      <c r="G50" s="218"/>
      <c r="H50" s="219"/>
      <c r="I50" s="217" t="s">
        <v>525</v>
      </c>
      <c r="J50" s="220"/>
      <c r="K50" s="221"/>
      <c r="L50" s="217" t="s">
        <v>664</v>
      </c>
      <c r="M50" s="220"/>
      <c r="N50" s="221"/>
      <c r="O50" s="217" t="s">
        <v>529</v>
      </c>
      <c r="P50" s="220"/>
      <c r="Q50" s="221"/>
      <c r="R50" s="217" t="s">
        <v>530</v>
      </c>
      <c r="S50" s="220"/>
      <c r="T50" s="221"/>
      <c r="U50" s="414" t="s">
        <v>528</v>
      </c>
      <c r="V50" s="255"/>
      <c r="W50" s="415"/>
      <c r="X50" s="160" t="s">
        <v>9</v>
      </c>
      <c r="Y50" s="519" t="s">
        <v>223</v>
      </c>
      <c r="Z50" s="521" t="s">
        <v>4</v>
      </c>
    </row>
    <row r="51" spans="2:29" ht="12.75" customHeight="1" thickBot="1" x14ac:dyDescent="0.35">
      <c r="B51" s="163"/>
      <c r="C51" s="169"/>
      <c r="D51" s="157"/>
      <c r="E51" s="476"/>
      <c r="F51" s="131" t="s">
        <v>33</v>
      </c>
      <c r="G51" s="131" t="s">
        <v>34</v>
      </c>
      <c r="H51" s="132" t="s">
        <v>35</v>
      </c>
      <c r="I51" s="131" t="s">
        <v>33</v>
      </c>
      <c r="J51" s="131" t="s">
        <v>34</v>
      </c>
      <c r="K51" s="132" t="s">
        <v>35</v>
      </c>
      <c r="L51" s="131" t="s">
        <v>33</v>
      </c>
      <c r="M51" s="131" t="s">
        <v>34</v>
      </c>
      <c r="N51" s="132" t="s">
        <v>35</v>
      </c>
      <c r="O51" s="131" t="s">
        <v>33</v>
      </c>
      <c r="P51" s="131" t="s">
        <v>34</v>
      </c>
      <c r="Q51" s="132" t="s">
        <v>35</v>
      </c>
      <c r="R51" s="131" t="s">
        <v>33</v>
      </c>
      <c r="S51" s="131" t="s">
        <v>34</v>
      </c>
      <c r="T51" s="132" t="s">
        <v>35</v>
      </c>
      <c r="U51" s="131" t="s">
        <v>33</v>
      </c>
      <c r="V51" s="131" t="s">
        <v>34</v>
      </c>
      <c r="W51" s="132" t="s">
        <v>35</v>
      </c>
      <c r="X51" s="157"/>
      <c r="Y51" s="520"/>
      <c r="Z51" s="522"/>
    </row>
    <row r="52" spans="2:29" ht="12.75" customHeight="1" thickBot="1" x14ac:dyDescent="0.35">
      <c r="B52" s="133">
        <v>1</v>
      </c>
      <c r="C52" s="142" t="s">
        <v>574</v>
      </c>
      <c r="D52" s="478">
        <f>IFERROR(VLOOKUP(C52,Tabla15[[Piloto]:[Puntos clase]],7, FALSE), " ")</f>
        <v>2</v>
      </c>
      <c r="E52" s="477" t="str">
        <f t="shared" ref="E52:E57" si="7">LEFT(AB52,LEN(AB52)-2)</f>
        <v>2</v>
      </c>
      <c r="F52" s="475">
        <f>IFERROR(VLOOKUP(C52,'01_RS ALCARRIA'!$D$6:$M$36,10,FALSE),"")</f>
        <v>25</v>
      </c>
      <c r="G52" s="135">
        <f>IFERROR(VLOOKUP(C52,'01_RS ALCARRIA'!$D$6:$O$36,12,FALSE),"")</f>
        <v>10</v>
      </c>
      <c r="H52" s="138">
        <f t="shared" ref="H52:H62" si="8">(F52+G52)*2</f>
        <v>70</v>
      </c>
      <c r="I52" s="135">
        <f>IFERROR(VLOOKUP(C52,'02_TCT GUADAMUR'!$D$6:$M$36,10,FALSE),"")</f>
        <v>17</v>
      </c>
      <c r="J52" s="135">
        <f>IFERROR(VLOOKUP(C52,'02_TCT GUADAMUR'!$D$6:$O$36,12,FALSE),"")</f>
        <v>6</v>
      </c>
      <c r="K52" s="138">
        <f>(I52+J52)</f>
        <v>23</v>
      </c>
      <c r="L52" s="135"/>
      <c r="M52" s="135"/>
      <c r="N52" s="138"/>
      <c r="O52" s="135"/>
      <c r="P52" s="135"/>
      <c r="Q52" s="138"/>
      <c r="R52" s="135"/>
      <c r="S52" s="135"/>
      <c r="T52" s="138"/>
      <c r="U52" s="135"/>
      <c r="V52" s="135"/>
      <c r="W52" s="138"/>
      <c r="X52" s="139">
        <f t="shared" ref="X52:X87" si="9">H52+K52+N52+Q52+T52+W52</f>
        <v>93</v>
      </c>
      <c r="Y52" s="140" t="str">
        <f>IF(Z52&gt;=3,"Sí","No")</f>
        <v>No</v>
      </c>
      <c r="Z52" s="141">
        <f>COUNTA(H52,K52,N52,Q52,T52,W52)</f>
        <v>2</v>
      </c>
      <c r="AB52" s="261" t="str">
        <f>IFERROR(VLOOKUP(C52,Tabla15[[Piloto]:[Puntos clase]],6, FALSE), " ")</f>
        <v>2RM</v>
      </c>
    </row>
    <row r="53" spans="2:29" ht="12.75" customHeight="1" x14ac:dyDescent="0.3">
      <c r="B53" s="133">
        <v>2</v>
      </c>
      <c r="C53" s="134" t="s">
        <v>576</v>
      </c>
      <c r="D53" s="482">
        <f>IFERROR(VLOOKUP(C53,Tabla15[[Piloto]:[Puntos clase]],7, FALSE), " ")</f>
        <v>2</v>
      </c>
      <c r="E53" s="483" t="str">
        <f t="shared" si="7"/>
        <v>2</v>
      </c>
      <c r="F53" s="135">
        <f>IFERROR(VLOOKUP(C53,'01_RS ALCARRIA'!$D$6:$M$36,10,FALSE),"")</f>
        <v>20</v>
      </c>
      <c r="G53" s="135">
        <f>IFERROR(VLOOKUP(C53,'01_RS ALCARRIA'!$D$6:$O$36,12,FALSE),"")</f>
        <v>8</v>
      </c>
      <c r="H53" s="138">
        <f t="shared" si="8"/>
        <v>56</v>
      </c>
      <c r="I53" s="135">
        <f>IFERROR(VLOOKUP(C53,'02_TCT GUADAMUR'!$D$6:$M$36,10,FALSE),"")</f>
        <v>25</v>
      </c>
      <c r="J53" s="135">
        <f>IFERROR(VLOOKUP(C53,'02_TCT GUADAMUR'!$D$6:$O$36,12,FALSE),"")</f>
        <v>10</v>
      </c>
      <c r="K53" s="138">
        <f>(I53+J53)</f>
        <v>35</v>
      </c>
      <c r="L53" s="135"/>
      <c r="M53" s="135"/>
      <c r="N53" s="138"/>
      <c r="O53" s="135"/>
      <c r="P53" s="135"/>
      <c r="Q53" s="138"/>
      <c r="R53" s="135"/>
      <c r="S53" s="135"/>
      <c r="T53" s="138"/>
      <c r="U53" s="135"/>
      <c r="V53" s="135"/>
      <c r="W53" s="138"/>
      <c r="X53" s="139">
        <f t="shared" si="9"/>
        <v>91</v>
      </c>
      <c r="Y53" s="140" t="str">
        <f t="shared" ref="Y53:Y87" si="10">IF(Z53&gt;=3,"Sí","No")</f>
        <v>No</v>
      </c>
      <c r="Z53" s="141">
        <f t="shared" ref="Z53:Z87" si="11">COUNTA(H53,K53,N53,Q53,T53,W53)</f>
        <v>2</v>
      </c>
      <c r="AA53" s="5"/>
      <c r="AB53" s="261" t="str">
        <f>IFERROR(VLOOKUP(C53,Tabla15[[Piloto]:[Puntos clase]],6, FALSE), " ")</f>
        <v>2RM</v>
      </c>
      <c r="AC53" s="2"/>
    </row>
    <row r="54" spans="2:29" ht="12.75" customHeight="1" x14ac:dyDescent="0.3">
      <c r="B54" s="133">
        <v>1</v>
      </c>
      <c r="C54" s="134" t="s">
        <v>368</v>
      </c>
      <c r="D54" s="479">
        <f>IFERROR(VLOOKUP(C54,Tabla15[[Piloto]:[Puntos clase]],7, FALSE), " ")</f>
        <v>3</v>
      </c>
      <c r="E54" s="482" t="str">
        <f t="shared" si="7"/>
        <v>2</v>
      </c>
      <c r="F54" s="135">
        <f>IFERROR(VLOOKUP(C54,'01_RS ALCARRIA'!$D$6:$M$36,10,FALSE),"")</f>
        <v>10</v>
      </c>
      <c r="G54" s="135">
        <f>IFERROR(VLOOKUP(C54,'01_RS ALCARRIA'!$D$6:$O$36,12,FALSE),"")</f>
        <v>10</v>
      </c>
      <c r="H54" s="138">
        <f t="shared" si="8"/>
        <v>40</v>
      </c>
      <c r="I54" s="135">
        <f>IFERROR(VLOOKUP(C54,'02_TCT GUADAMUR'!$D$6:$M$36,10,FALSE),"")</f>
        <v>10</v>
      </c>
      <c r="J54" s="135">
        <f>IFERROR(VLOOKUP(C54,'02_TCT GUADAMUR'!$D$6:$O$36,12,FALSE),"")</f>
        <v>8</v>
      </c>
      <c r="K54" s="138">
        <f>(I54+J54)</f>
        <v>18</v>
      </c>
      <c r="L54" s="135"/>
      <c r="M54" s="135"/>
      <c r="N54" s="138"/>
      <c r="O54" s="135"/>
      <c r="P54" s="135"/>
      <c r="Q54" s="138"/>
      <c r="R54" s="135"/>
      <c r="S54" s="135"/>
      <c r="T54" s="138"/>
      <c r="U54" s="135"/>
      <c r="V54" s="135"/>
      <c r="W54" s="138"/>
      <c r="X54" s="139">
        <f t="shared" si="9"/>
        <v>58</v>
      </c>
      <c r="Y54" s="140" t="str">
        <f t="shared" si="10"/>
        <v>No</v>
      </c>
      <c r="Z54" s="141">
        <f t="shared" si="11"/>
        <v>2</v>
      </c>
      <c r="AA54" s="5"/>
      <c r="AB54" s="261" t="str">
        <f>IFERROR(VLOOKUP(C54,Tabla15[[Piloto]:[Puntos clase]],6, FALSE), " ")</f>
        <v>2RM</v>
      </c>
      <c r="AC54" s="2"/>
    </row>
    <row r="55" spans="2:29" ht="12.75" customHeight="1" x14ac:dyDescent="0.3">
      <c r="B55" s="133">
        <v>1</v>
      </c>
      <c r="C55" s="134" t="s">
        <v>174</v>
      </c>
      <c r="D55" s="479">
        <f>IFERROR(VLOOKUP(C55,Tabla15[[Piloto]:[Puntos clase]],7, FALSE), " ")</f>
        <v>1</v>
      </c>
      <c r="E55" s="482" t="str">
        <f t="shared" si="7"/>
        <v>4</v>
      </c>
      <c r="F55" s="135">
        <f>IFERROR(VLOOKUP(C55,'01_RS ALCARRIA'!$D$6:$M$36,10,FALSE),"")</f>
        <v>12</v>
      </c>
      <c r="G55" s="284">
        <f>IFERROR(VLOOKUP(C55,'01_RS ALCARRIA'!$D$6:$O$36,12,FALSE),"")/2</f>
        <v>4</v>
      </c>
      <c r="H55" s="138">
        <f t="shared" si="8"/>
        <v>32</v>
      </c>
      <c r="I55" s="135">
        <f>IFERROR(VLOOKUP(C55,'02_TCT GUADAMUR'!$D$6:$M$36,10,FALSE),"")</f>
        <v>15</v>
      </c>
      <c r="J55" s="135">
        <f>IFERROR(VLOOKUP(C55,'02_TCT GUADAMUR'!$D$6:$O$36,12,FALSE),"")</f>
        <v>10</v>
      </c>
      <c r="K55" s="138">
        <f>(I55+J55)</f>
        <v>25</v>
      </c>
      <c r="L55" s="135"/>
      <c r="M55" s="135"/>
      <c r="N55" s="138"/>
      <c r="O55" s="135"/>
      <c r="P55" s="135"/>
      <c r="Q55" s="138"/>
      <c r="R55" s="135"/>
      <c r="S55" s="135"/>
      <c r="T55" s="138"/>
      <c r="U55" s="135"/>
      <c r="V55" s="135"/>
      <c r="W55" s="138"/>
      <c r="X55" s="139">
        <f t="shared" si="9"/>
        <v>57</v>
      </c>
      <c r="Y55" s="140" t="str">
        <f t="shared" si="10"/>
        <v>No</v>
      </c>
      <c r="Z55" s="141">
        <f t="shared" si="11"/>
        <v>2</v>
      </c>
      <c r="AA55" s="5"/>
      <c r="AB55" s="261" t="str">
        <f>IFERROR(VLOOKUP(C55,Tabla15[[Piloto]:[Puntos clase]],6, FALSE), " ")</f>
        <v>4RM</v>
      </c>
      <c r="AC55" s="2"/>
    </row>
    <row r="56" spans="2:29" ht="12.75" customHeight="1" x14ac:dyDescent="0.3">
      <c r="B56" s="133">
        <v>1</v>
      </c>
      <c r="C56" s="142" t="s">
        <v>597</v>
      </c>
      <c r="D56" s="479">
        <f>IFERROR(VLOOKUP(C56,Tabla15[[Piloto]:[Puntos clase]],7, FALSE), " ")</f>
        <v>5</v>
      </c>
      <c r="E56" s="482" t="str">
        <f t="shared" si="7"/>
        <v>2</v>
      </c>
      <c r="F56" s="135">
        <f>IFERROR(VLOOKUP(C56,'01_RS ALCARRIA'!$D$6:$M$36,10,FALSE),"")</f>
        <v>4</v>
      </c>
      <c r="G56" s="135">
        <f>IFERROR(VLOOKUP(C56,'01_RS ALCARRIA'!$D$6:$O$36,12,FALSE),"")</f>
        <v>10</v>
      </c>
      <c r="H56" s="138">
        <f t="shared" si="8"/>
        <v>28</v>
      </c>
      <c r="I56" s="135">
        <f>IFERROR(VLOOKUP(C56,'02_TCT GUADAMUR'!$D$6:$M$36,10,FALSE),"")</f>
        <v>8</v>
      </c>
      <c r="J56" s="135">
        <f>IFERROR(VLOOKUP(C56,'02_TCT GUADAMUR'!$D$6:$O$36,12,FALSE),"")</f>
        <v>10</v>
      </c>
      <c r="K56" s="138">
        <f>(I56+J56)</f>
        <v>18</v>
      </c>
      <c r="L56" s="135"/>
      <c r="M56" s="135"/>
      <c r="N56" s="138"/>
      <c r="O56" s="135"/>
      <c r="P56" s="135"/>
      <c r="Q56" s="138"/>
      <c r="R56" s="135"/>
      <c r="S56" s="135"/>
      <c r="T56" s="138"/>
      <c r="U56" s="135"/>
      <c r="V56" s="135"/>
      <c r="W56" s="138"/>
      <c r="X56" s="139">
        <f t="shared" si="9"/>
        <v>46</v>
      </c>
      <c r="Y56" s="140" t="str">
        <f t="shared" si="10"/>
        <v>No</v>
      </c>
      <c r="Z56" s="141">
        <f t="shared" si="11"/>
        <v>2</v>
      </c>
      <c r="AB56" s="261" t="str">
        <f>IFERROR(VLOOKUP(C56,Tabla15[[Piloto]:[Puntos clase]],6, FALSE), " ")</f>
        <v>2RM</v>
      </c>
    </row>
    <row r="57" spans="2:29" ht="12.75" customHeight="1" x14ac:dyDescent="0.3">
      <c r="B57" s="133">
        <v>2</v>
      </c>
      <c r="C57" s="142" t="s">
        <v>654</v>
      </c>
      <c r="D57" s="482">
        <f>IFERROR(VLOOKUP(C57,Tabla15[[Piloto]:[Puntos clase]],7, FALSE), " ")</f>
        <v>1</v>
      </c>
      <c r="E57" s="482" t="str">
        <f t="shared" si="7"/>
        <v>4</v>
      </c>
      <c r="F57" s="135">
        <f>IFERROR(VLOOKUP(C57,'01_RS ALCARRIA'!$D$6:$M$36,10,FALSE),"")</f>
        <v>17</v>
      </c>
      <c r="G57" s="284">
        <f>IFERROR(VLOOKUP(C57,'01_RS ALCARRIA'!$D$6:$O$36,12,FALSE),"")/2</f>
        <v>5</v>
      </c>
      <c r="H57" s="138">
        <f t="shared" si="8"/>
        <v>44</v>
      </c>
      <c r="I57" s="135"/>
      <c r="J57" s="135"/>
      <c r="K57" s="138"/>
      <c r="L57" s="135"/>
      <c r="M57" s="135"/>
      <c r="N57" s="138"/>
      <c r="O57" s="135"/>
      <c r="P57" s="135"/>
      <c r="Q57" s="138"/>
      <c r="R57" s="135"/>
      <c r="S57" s="135"/>
      <c r="T57" s="138"/>
      <c r="U57" s="135"/>
      <c r="V57" s="135"/>
      <c r="W57" s="138"/>
      <c r="X57" s="139">
        <f t="shared" si="9"/>
        <v>44</v>
      </c>
      <c r="Y57" s="140" t="str">
        <f t="shared" si="10"/>
        <v>No</v>
      </c>
      <c r="Z57" s="141">
        <f t="shared" si="11"/>
        <v>1</v>
      </c>
      <c r="AB57" s="261" t="str">
        <f>IFERROR(VLOOKUP(C57,Tabla15[[Piloto]:[Puntos clase]],6, FALSE), " ")</f>
        <v>4RM</v>
      </c>
    </row>
    <row r="58" spans="2:29" ht="12.75" customHeight="1" x14ac:dyDescent="0.3">
      <c r="B58" s="133">
        <v>3</v>
      </c>
      <c r="C58" s="142" t="s">
        <v>585</v>
      </c>
      <c r="D58" s="482">
        <v>2</v>
      </c>
      <c r="E58" s="482">
        <v>2</v>
      </c>
      <c r="F58" s="135">
        <f>IFERROR(VLOOKUP(C58,'01_RS ALCARRIA'!$D$6:$M$36,10,FALSE),"")</f>
        <v>15</v>
      </c>
      <c r="G58" s="135">
        <f>IFERROR(VLOOKUP(C58,'01_RS ALCARRIA'!$D$6:$O$36,12,FALSE),"")</f>
        <v>6</v>
      </c>
      <c r="H58" s="138">
        <f t="shared" si="8"/>
        <v>42</v>
      </c>
      <c r="I58" s="135"/>
      <c r="J58" s="135"/>
      <c r="K58" s="138"/>
      <c r="L58" s="135"/>
      <c r="M58" s="135"/>
      <c r="N58" s="138"/>
      <c r="O58" s="135"/>
      <c r="P58" s="135"/>
      <c r="Q58" s="138"/>
      <c r="R58" s="135"/>
      <c r="S58" s="135"/>
      <c r="T58" s="138"/>
      <c r="U58" s="135"/>
      <c r="V58" s="135"/>
      <c r="W58" s="138"/>
      <c r="X58" s="139">
        <f t="shared" si="9"/>
        <v>42</v>
      </c>
      <c r="Y58" s="140" t="str">
        <f t="shared" si="10"/>
        <v>No</v>
      </c>
      <c r="Z58" s="141">
        <f t="shared" si="11"/>
        <v>1</v>
      </c>
      <c r="AB58" s="261" t="str">
        <f>IFERROR(VLOOKUP(C58,Tabla15[[Piloto]:[Puntos clase]],6, FALSE), " ")</f>
        <v>2RM</v>
      </c>
    </row>
    <row r="59" spans="2:29" ht="12.75" customHeight="1" x14ac:dyDescent="0.3">
      <c r="B59" s="133">
        <v>1</v>
      </c>
      <c r="C59" s="142" t="s">
        <v>283</v>
      </c>
      <c r="D59" s="479">
        <f>IFERROR(VLOOKUP(C59,Tabla15[[Piloto]:[Puntos clase]],7, FALSE), " ")</f>
        <v>4</v>
      </c>
      <c r="E59" s="482" t="str">
        <f>LEFT(AB59,LEN(AB59)-2)</f>
        <v>2</v>
      </c>
      <c r="F59" s="135">
        <f>IFERROR(VLOOKUP(C59,'01_RS ALCARRIA'!$D$6:$M$36,10,FALSE),"")</f>
        <v>3</v>
      </c>
      <c r="G59" s="135">
        <f>IFERROR(VLOOKUP(C59,'01_RS ALCARRIA'!$D$6:$O$36,12,FALSE),"")</f>
        <v>10</v>
      </c>
      <c r="H59" s="138">
        <f t="shared" si="8"/>
        <v>26</v>
      </c>
      <c r="I59" s="135">
        <f>IFERROR(VLOOKUP(C59,'02_TCT GUADAMUR'!$D$6:$M$36,10,FALSE),"")</f>
        <v>6</v>
      </c>
      <c r="J59" s="135">
        <f>IFERROR(VLOOKUP(C59,'02_TCT GUADAMUR'!$D$6:$O$36,12,FALSE),"")</f>
        <v>10</v>
      </c>
      <c r="K59" s="138">
        <f>(I59+J59)</f>
        <v>16</v>
      </c>
      <c r="L59" s="135"/>
      <c r="M59" s="135"/>
      <c r="N59" s="138"/>
      <c r="O59" s="135"/>
      <c r="P59" s="135"/>
      <c r="Q59" s="138"/>
      <c r="R59" s="135"/>
      <c r="S59" s="135"/>
      <c r="T59" s="138"/>
      <c r="U59" s="135"/>
      <c r="V59" s="135"/>
      <c r="W59" s="138"/>
      <c r="X59" s="139">
        <f t="shared" si="9"/>
        <v>42</v>
      </c>
      <c r="Y59" s="140" t="str">
        <f t="shared" si="10"/>
        <v>No</v>
      </c>
      <c r="Z59" s="141">
        <f t="shared" si="11"/>
        <v>2</v>
      </c>
      <c r="AB59" s="261" t="str">
        <f>IFERROR(VLOOKUP(C59,Tabla15[[Piloto]:[Puntos clase]],6, FALSE), " ")</f>
        <v>2RM</v>
      </c>
    </row>
    <row r="60" spans="2:29" ht="12.75" customHeight="1" x14ac:dyDescent="0.3">
      <c r="B60" s="133">
        <v>2</v>
      </c>
      <c r="C60" s="155" t="s">
        <v>592</v>
      </c>
      <c r="D60" s="482">
        <f>IFERROR(VLOOKUP(C60,Tabla15[[Piloto]:[Puntos clase]],7, FALSE), " ")</f>
        <v>3</v>
      </c>
      <c r="E60" s="482" t="str">
        <f>LEFT(AB60,LEN(AB60)-2)</f>
        <v>2</v>
      </c>
      <c r="F60" s="135">
        <f>IFERROR(VLOOKUP(C60,'01_RS ALCARRIA'!$D$6:$M$36,10,FALSE),"")</f>
        <v>8</v>
      </c>
      <c r="G60" s="135">
        <f>IFERROR(VLOOKUP(C60,'01_RS ALCARRIA'!$D$6:$O$36,12,FALSE),"")</f>
        <v>8</v>
      </c>
      <c r="H60" s="138">
        <f t="shared" si="8"/>
        <v>32</v>
      </c>
      <c r="I60" s="135">
        <v>0</v>
      </c>
      <c r="J60" s="135">
        <v>0</v>
      </c>
      <c r="K60" s="138">
        <f>(I60+J60)</f>
        <v>0</v>
      </c>
      <c r="L60" s="135"/>
      <c r="M60" s="135"/>
      <c r="N60" s="138"/>
      <c r="O60" s="135"/>
      <c r="P60" s="135"/>
      <c r="Q60" s="138"/>
      <c r="R60" s="135"/>
      <c r="S60" s="135"/>
      <c r="T60" s="138"/>
      <c r="U60" s="135"/>
      <c r="V60" s="135"/>
      <c r="W60" s="138"/>
      <c r="X60" s="139">
        <f t="shared" si="9"/>
        <v>32</v>
      </c>
      <c r="Y60" s="140" t="str">
        <f t="shared" si="10"/>
        <v>No</v>
      </c>
      <c r="Z60" s="141">
        <f t="shared" si="11"/>
        <v>2</v>
      </c>
      <c r="AB60" s="261" t="str">
        <f>IFERROR(VLOOKUP(C60,Tabla15[[Piloto]:[Puntos clase]],6, FALSE), " ")</f>
        <v>2RM</v>
      </c>
    </row>
    <row r="61" spans="2:29" ht="12.75" customHeight="1" x14ac:dyDescent="0.3">
      <c r="B61" s="133">
        <v>2</v>
      </c>
      <c r="C61" s="142" t="s">
        <v>332</v>
      </c>
      <c r="D61" s="482">
        <f>IFERROR(VLOOKUP(C61,Tabla15[[Piloto]:[Puntos clase]],7, FALSE), " ")</f>
        <v>4</v>
      </c>
      <c r="E61" s="482" t="str">
        <f>LEFT(AB61,LEN(AB61)-2)</f>
        <v>2</v>
      </c>
      <c r="F61" s="135">
        <f>IFERROR(VLOOKUP(C61,'01_RS ALCARRIA'!$D$6:$M$36,10,FALSE),"")</f>
        <v>2</v>
      </c>
      <c r="G61" s="135">
        <f>IFERROR(VLOOKUP(C61,'01_RS ALCARRIA'!$D$6:$O$36,12,FALSE),"")</f>
        <v>8</v>
      </c>
      <c r="H61" s="138">
        <f t="shared" si="8"/>
        <v>20</v>
      </c>
      <c r="I61" s="135">
        <f>IFERROR(VLOOKUP(C61,'02_TCT GUADAMUR'!$D$6:$M$36,10,FALSE),"")</f>
        <v>1</v>
      </c>
      <c r="J61" s="135">
        <f>IFERROR(VLOOKUP(C61,'02_TCT GUADAMUR'!$D$6:$O$36,12,FALSE),"")</f>
        <v>8</v>
      </c>
      <c r="K61" s="138">
        <f>(I61+J61)</f>
        <v>9</v>
      </c>
      <c r="L61" s="135"/>
      <c r="M61" s="135"/>
      <c r="N61" s="138"/>
      <c r="O61" s="135"/>
      <c r="P61" s="135"/>
      <c r="Q61" s="138"/>
      <c r="R61" s="135"/>
      <c r="S61" s="135"/>
      <c r="T61" s="138"/>
      <c r="U61" s="135"/>
      <c r="V61" s="135"/>
      <c r="W61" s="138"/>
      <c r="X61" s="139">
        <f t="shared" si="9"/>
        <v>29</v>
      </c>
      <c r="Y61" s="140" t="str">
        <f t="shared" si="10"/>
        <v>No</v>
      </c>
      <c r="Z61" s="141">
        <f t="shared" si="11"/>
        <v>2</v>
      </c>
      <c r="AB61" s="261" t="str">
        <f>IFERROR(VLOOKUP(C61,Tabla15[[Piloto]:[Puntos clase]],6, FALSE), " ")</f>
        <v>2RM</v>
      </c>
    </row>
    <row r="62" spans="2:29" ht="12.75" customHeight="1" x14ac:dyDescent="0.3">
      <c r="B62" s="133">
        <v>3</v>
      </c>
      <c r="C62" s="142" t="s">
        <v>595</v>
      </c>
      <c r="D62" s="482">
        <f>IFERROR(VLOOKUP(C62,Tabla15[[Piloto]:[Puntos clase]],7, FALSE), " ")</f>
        <v>3</v>
      </c>
      <c r="E62" s="482" t="str">
        <f>LEFT(AB62,LEN(AB62)-2)</f>
        <v>2</v>
      </c>
      <c r="F62" s="135">
        <f>IFERROR(VLOOKUP(C62,'01_RS ALCARRIA'!$D$6:$M$36,10,FALSE),"")</f>
        <v>5</v>
      </c>
      <c r="G62" s="135">
        <f>IFERROR(VLOOKUP(C62,'01_RS ALCARRIA'!$D$6:$O$36,12,FALSE),"")</f>
        <v>5</v>
      </c>
      <c r="H62" s="138">
        <f t="shared" si="8"/>
        <v>20</v>
      </c>
      <c r="I62" s="135">
        <f>IFERROR(VLOOKUP(C62,'02_TCT GUADAMUR'!$D$6:$M$36,10,FALSE),"")</f>
        <v>3</v>
      </c>
      <c r="J62" s="135">
        <f>IFERROR(VLOOKUP(C62,'02_TCT GUADAMUR'!$D$6:$O$36,12,FALSE),"")</f>
        <v>5</v>
      </c>
      <c r="K62" s="138">
        <f>(I62+J62)</f>
        <v>8</v>
      </c>
      <c r="L62" s="135"/>
      <c r="M62" s="135"/>
      <c r="N62" s="138"/>
      <c r="O62" s="135"/>
      <c r="P62" s="135"/>
      <c r="Q62" s="138"/>
      <c r="R62" s="135"/>
      <c r="S62" s="135"/>
      <c r="T62" s="138"/>
      <c r="U62" s="135"/>
      <c r="V62" s="135"/>
      <c r="W62" s="138"/>
      <c r="X62" s="139">
        <f t="shared" si="9"/>
        <v>28</v>
      </c>
      <c r="Y62" s="140" t="str">
        <f t="shared" si="10"/>
        <v>No</v>
      </c>
      <c r="Z62" s="141">
        <f t="shared" si="11"/>
        <v>2</v>
      </c>
      <c r="AB62" s="261" t="str">
        <f>IFERROR(VLOOKUP(C62,Tabla15[[Piloto]:[Puntos clase]],6, FALSE), " ")</f>
        <v>2RM</v>
      </c>
    </row>
    <row r="63" spans="2:29" ht="12.75" customHeight="1" x14ac:dyDescent="0.3">
      <c r="B63" s="133">
        <v>4</v>
      </c>
      <c r="C63" s="142" t="s">
        <v>668</v>
      </c>
      <c r="D63" s="482">
        <v>2</v>
      </c>
      <c r="E63" s="482">
        <v>2</v>
      </c>
      <c r="F63" s="135"/>
      <c r="G63" s="135"/>
      <c r="H63" s="138"/>
      <c r="I63" s="135">
        <f>IFERROR(VLOOKUP(C63,'02_TCT GUADAMUR'!$D$6:$M$36,10,FALSE),"")</f>
        <v>20</v>
      </c>
      <c r="J63" s="135">
        <f>IFERROR(VLOOKUP(C63,'02_TCT GUADAMUR'!$D$6:$O$36,12,FALSE),"")</f>
        <v>8</v>
      </c>
      <c r="K63" s="138">
        <f>(I63+J63)</f>
        <v>28</v>
      </c>
      <c r="L63" s="135"/>
      <c r="M63" s="135"/>
      <c r="N63" s="138"/>
      <c r="O63" s="135"/>
      <c r="P63" s="135"/>
      <c r="Q63" s="138"/>
      <c r="R63" s="135"/>
      <c r="S63" s="135"/>
      <c r="T63" s="138"/>
      <c r="U63" s="135"/>
      <c r="V63" s="135"/>
      <c r="W63" s="138"/>
      <c r="X63" s="139">
        <f t="shared" si="9"/>
        <v>28</v>
      </c>
      <c r="Y63" s="140" t="str">
        <f t="shared" si="10"/>
        <v>No</v>
      </c>
      <c r="Z63" s="141">
        <f t="shared" si="11"/>
        <v>1</v>
      </c>
      <c r="AB63" s="261" t="str">
        <f>IFERROR(VLOOKUP(C63,Tabla15[[Piloto]:[Puntos clase]],6, FALSE), " ")</f>
        <v xml:space="preserve"> </v>
      </c>
    </row>
    <row r="64" spans="2:29" ht="12.75" customHeight="1" x14ac:dyDescent="0.3">
      <c r="B64" s="133">
        <v>4</v>
      </c>
      <c r="C64" s="142" t="s">
        <v>593</v>
      </c>
      <c r="D64" s="482">
        <f>IFERROR(VLOOKUP(C64,Tabla15[[Piloto]:[Puntos clase]],7, FALSE), " ")</f>
        <v>3</v>
      </c>
      <c r="E64" s="482" t="str">
        <f>LEFT(AB64,LEN(AB64)-2)</f>
        <v>2</v>
      </c>
      <c r="F64" s="135">
        <f>IFERROR(VLOOKUP(C64,'01_RS ALCARRIA'!$D$6:$M$36,10,FALSE),"")</f>
        <v>6</v>
      </c>
      <c r="G64" s="135">
        <f>IFERROR(VLOOKUP(C64,'01_RS ALCARRIA'!$D$6:$O$36,12,FALSE),"")</f>
        <v>6</v>
      </c>
      <c r="H64" s="138">
        <f>(F64+G64)*2</f>
        <v>24</v>
      </c>
      <c r="I64" s="135"/>
      <c r="J64" s="135"/>
      <c r="K64" s="138"/>
      <c r="L64" s="135"/>
      <c r="M64" s="135"/>
      <c r="N64" s="138"/>
      <c r="O64" s="135"/>
      <c r="P64" s="135"/>
      <c r="Q64" s="138"/>
      <c r="R64" s="135"/>
      <c r="S64" s="135"/>
      <c r="T64" s="138"/>
      <c r="U64" s="135"/>
      <c r="V64" s="135"/>
      <c r="W64" s="138"/>
      <c r="X64" s="139">
        <f t="shared" si="9"/>
        <v>24</v>
      </c>
      <c r="Y64" s="140" t="str">
        <f t="shared" si="10"/>
        <v>No</v>
      </c>
      <c r="Z64" s="141">
        <f t="shared" si="11"/>
        <v>1</v>
      </c>
      <c r="AB64" s="261" t="str">
        <f>IFERROR(VLOOKUP(C64,Tabla15[[Piloto]:[Puntos clase]],6, FALSE), " ")</f>
        <v>2RM</v>
      </c>
    </row>
    <row r="65" spans="2:28" ht="12.75" customHeight="1" x14ac:dyDescent="0.3">
      <c r="B65" s="133">
        <v>5</v>
      </c>
      <c r="C65" s="142" t="s">
        <v>212</v>
      </c>
      <c r="D65" s="482">
        <v>3</v>
      </c>
      <c r="E65" s="482">
        <v>2</v>
      </c>
      <c r="F65" s="135"/>
      <c r="G65" s="135"/>
      <c r="H65" s="138"/>
      <c r="I65" s="135">
        <f>IFERROR(VLOOKUP(C65,'02_TCT GUADAMUR'!$D$6:$M$36,10,FALSE),"")</f>
        <v>12</v>
      </c>
      <c r="J65" s="135">
        <f>IFERROR(VLOOKUP(C65,'02_TCT GUADAMUR'!$D$6:$O$36,12,FALSE),"")</f>
        <v>10</v>
      </c>
      <c r="K65" s="138">
        <f>(I65+J65)</f>
        <v>22</v>
      </c>
      <c r="L65" s="135"/>
      <c r="M65" s="135"/>
      <c r="N65" s="138"/>
      <c r="O65" s="135"/>
      <c r="P65" s="135"/>
      <c r="Q65" s="138"/>
      <c r="R65" s="135"/>
      <c r="S65" s="135"/>
      <c r="T65" s="138"/>
      <c r="U65" s="135"/>
      <c r="V65" s="135"/>
      <c r="W65" s="138"/>
      <c r="X65" s="139">
        <f t="shared" si="9"/>
        <v>22</v>
      </c>
      <c r="Y65" s="140" t="str">
        <f t="shared" si="10"/>
        <v>No</v>
      </c>
      <c r="Z65" s="141">
        <f t="shared" si="11"/>
        <v>1</v>
      </c>
      <c r="AB65" s="261" t="str">
        <f>IFERROR(VLOOKUP(C65,Tabla15[[Piloto]:[Puntos clase]],6, FALSE), " ")</f>
        <v xml:space="preserve"> </v>
      </c>
    </row>
    <row r="66" spans="2:28" ht="12.75" customHeight="1" x14ac:dyDescent="0.3">
      <c r="B66" s="133">
        <v>3</v>
      </c>
      <c r="C66" s="142" t="s">
        <v>621</v>
      </c>
      <c r="D66" s="482">
        <v>4</v>
      </c>
      <c r="E66" s="482" t="str">
        <f>LEFT(AB66,LEN(AB66)-2)</f>
        <v>2</v>
      </c>
      <c r="F66" s="135">
        <f>IFERROR(VLOOKUP(C66,'01_RS ALCARRIA'!$D$6:$M$36,10,FALSE),"")</f>
        <v>0</v>
      </c>
      <c r="G66" s="135">
        <f>IFERROR(VLOOKUP(C66,'01_RS ALCARRIA'!$D$6:$O$36,12,FALSE),"")</f>
        <v>6</v>
      </c>
      <c r="H66" s="138">
        <f>(F66+G66)*2</f>
        <v>12</v>
      </c>
      <c r="I66" s="135">
        <f>IFERROR(VLOOKUP(C66,'02_TCT GUADAMUR'!$D$6:$M$36,10,FALSE),"")</f>
        <v>0</v>
      </c>
      <c r="J66" s="135">
        <f>IFERROR(VLOOKUP(C66,'02_TCT GUADAMUR'!$D$6:$O$36,12,FALSE),"")</f>
        <v>5</v>
      </c>
      <c r="K66" s="138">
        <f>(I66+J66)</f>
        <v>5</v>
      </c>
      <c r="L66" s="135"/>
      <c r="M66" s="135"/>
      <c r="N66" s="138"/>
      <c r="O66" s="135"/>
      <c r="P66" s="135"/>
      <c r="Q66" s="138"/>
      <c r="R66" s="135"/>
      <c r="S66" s="135"/>
      <c r="T66" s="138"/>
      <c r="U66" s="135"/>
      <c r="V66" s="135"/>
      <c r="W66" s="138"/>
      <c r="X66" s="139">
        <f t="shared" si="9"/>
        <v>17</v>
      </c>
      <c r="Y66" s="140" t="str">
        <f t="shared" si="10"/>
        <v>No</v>
      </c>
      <c r="Z66" s="141">
        <f t="shared" si="11"/>
        <v>2</v>
      </c>
      <c r="AB66" s="261" t="str">
        <f>IFERROR(VLOOKUP(C66,Tabla15[[Piloto]:[Puntos clase]],6, FALSE), " ")</f>
        <v>2RM</v>
      </c>
    </row>
    <row r="67" spans="2:28" ht="12.75" customHeight="1" x14ac:dyDescent="0.3">
      <c r="B67" s="133">
        <v>4</v>
      </c>
      <c r="C67" s="142" t="s">
        <v>624</v>
      </c>
      <c r="D67" s="482">
        <v>4</v>
      </c>
      <c r="E67" s="482">
        <v>2</v>
      </c>
      <c r="F67" s="135">
        <f>IFERROR(VLOOKUP(C67,'01_RS ALCARRIA'!$D$6:$M$36,10,FALSE),"")</f>
        <v>0</v>
      </c>
      <c r="G67" s="135">
        <f>IFERROR(VLOOKUP(C67,'01_RS ALCARRIA'!$D$6:$O$36,12,FALSE),"")</f>
        <v>5</v>
      </c>
      <c r="H67" s="138">
        <f>(F67+G67)*2</f>
        <v>10</v>
      </c>
      <c r="I67" s="135">
        <f>IFERROR(VLOOKUP(C67,'02_TCT GUADAMUR'!$D$6:$M$36,10,FALSE),"")</f>
        <v>0</v>
      </c>
      <c r="J67" s="135">
        <f>IFERROR(VLOOKUP(C67,'02_TCT GUADAMUR'!$D$6:$O$36,12,FALSE),"")</f>
        <v>6</v>
      </c>
      <c r="K67" s="138">
        <f>(I67+J67)</f>
        <v>6</v>
      </c>
      <c r="L67" s="135"/>
      <c r="M67" s="135"/>
      <c r="N67" s="138"/>
      <c r="O67" s="135"/>
      <c r="P67" s="135"/>
      <c r="Q67" s="138"/>
      <c r="R67" s="135"/>
      <c r="S67" s="135"/>
      <c r="T67" s="138"/>
      <c r="U67" s="135"/>
      <c r="V67" s="135"/>
      <c r="W67" s="138"/>
      <c r="X67" s="139">
        <f t="shared" si="9"/>
        <v>16</v>
      </c>
      <c r="Y67" s="140" t="str">
        <f t="shared" si="10"/>
        <v>No</v>
      </c>
      <c r="Z67" s="141">
        <f t="shared" si="11"/>
        <v>2</v>
      </c>
      <c r="AB67" s="261" t="str">
        <f>IFERROR(VLOOKUP(C67,Tabla15[[Piloto]:[Puntos clase]],6, FALSE), " ")</f>
        <v>2RM</v>
      </c>
    </row>
    <row r="68" spans="2:28" ht="12.75" customHeight="1" x14ac:dyDescent="0.3">
      <c r="B68" s="133">
        <v>2</v>
      </c>
      <c r="C68" s="142" t="s">
        <v>626</v>
      </c>
      <c r="D68" s="482">
        <f>IFERROR(VLOOKUP(C68,Tabla15[[Piloto]:[Puntos clase]],7, FALSE), " ")</f>
        <v>5</v>
      </c>
      <c r="E68" s="482" t="str">
        <f>LEFT(AB68,LEN(AB68)-2)</f>
        <v>4</v>
      </c>
      <c r="F68" s="135">
        <v>0</v>
      </c>
      <c r="G68" s="135">
        <v>0</v>
      </c>
      <c r="H68" s="138">
        <f>(F68+G68)</f>
        <v>0</v>
      </c>
      <c r="I68" s="135">
        <f>IFERROR(VLOOKUP(C68,'02_TCT GUADAMUR'!$D$6:$M$36,10,FALSE),"")</f>
        <v>4</v>
      </c>
      <c r="J68" s="135">
        <f>IFERROR(VLOOKUP(C68,'02_TCT GUADAMUR'!$D$6:$O$36,12,FALSE),"")</f>
        <v>8</v>
      </c>
      <c r="K68" s="138">
        <f>(I68+J68)</f>
        <v>12</v>
      </c>
      <c r="L68" s="135"/>
      <c r="M68" s="135"/>
      <c r="N68" s="138"/>
      <c r="O68" s="135"/>
      <c r="P68" s="135"/>
      <c r="Q68" s="138"/>
      <c r="R68" s="135"/>
      <c r="S68" s="135"/>
      <c r="T68" s="138"/>
      <c r="U68" s="135"/>
      <c r="V68" s="135"/>
      <c r="W68" s="138"/>
      <c r="X68" s="139">
        <f t="shared" si="9"/>
        <v>12</v>
      </c>
      <c r="Y68" s="140" t="str">
        <f t="shared" si="10"/>
        <v>No</v>
      </c>
      <c r="Z68" s="141">
        <f t="shared" si="11"/>
        <v>2</v>
      </c>
      <c r="AB68" s="261" t="str">
        <f>IFERROR(VLOOKUP(C68,Tabla15[[Piloto]:[Puntos clase]],6, FALSE), " ")</f>
        <v>4RM</v>
      </c>
    </row>
    <row r="69" spans="2:28" ht="12.75" customHeight="1" x14ac:dyDescent="0.3">
      <c r="B69" s="133">
        <v>6</v>
      </c>
      <c r="C69" s="142" t="s">
        <v>671</v>
      </c>
      <c r="D69" s="482">
        <v>3</v>
      </c>
      <c r="E69" s="482">
        <v>2</v>
      </c>
      <c r="F69" s="135"/>
      <c r="G69" s="135"/>
      <c r="H69" s="138"/>
      <c r="I69" s="135">
        <f>IFERROR(VLOOKUP(C69,'02_TCT GUADAMUR'!$D$6:$M$36,10,FALSE),"")</f>
        <v>5</v>
      </c>
      <c r="J69" s="135">
        <f>IFERROR(VLOOKUP(C69,'02_TCT GUADAMUR'!$D$6:$O$36,12,FALSE),"")</f>
        <v>6</v>
      </c>
      <c r="K69" s="138">
        <f>(I69+J69)</f>
        <v>11</v>
      </c>
      <c r="L69" s="135"/>
      <c r="M69" s="135"/>
      <c r="N69" s="138"/>
      <c r="O69" s="135"/>
      <c r="P69" s="135"/>
      <c r="Q69" s="138"/>
      <c r="R69" s="135"/>
      <c r="S69" s="135"/>
      <c r="T69" s="138"/>
      <c r="U69" s="135"/>
      <c r="V69" s="135"/>
      <c r="W69" s="138"/>
      <c r="X69" s="139">
        <f t="shared" si="9"/>
        <v>11</v>
      </c>
      <c r="Y69" s="140" t="str">
        <f t="shared" si="10"/>
        <v>No</v>
      </c>
      <c r="Z69" s="141">
        <f t="shared" si="11"/>
        <v>1</v>
      </c>
      <c r="AB69" s="261" t="str">
        <f>IFERROR(VLOOKUP(C69,Tabla15[[Piloto]:[Puntos clase]],6, FALSE), " ")</f>
        <v xml:space="preserve"> </v>
      </c>
    </row>
    <row r="70" spans="2:28" ht="12.75" customHeight="1" x14ac:dyDescent="0.3">
      <c r="B70" s="133">
        <v>7</v>
      </c>
      <c r="C70" s="142" t="s">
        <v>601</v>
      </c>
      <c r="D70" s="482">
        <f>IFERROR(VLOOKUP(C70,Tabla15[[Piloto]:[Puntos clase]],7, FALSE), " ")</f>
        <v>3</v>
      </c>
      <c r="E70" s="482" t="str">
        <f>LEFT(AB70,LEN(AB70)-2)</f>
        <v>2</v>
      </c>
      <c r="F70" s="135">
        <f>IFERROR(VLOOKUP(C70,'01_RS ALCARRIA'!$D$6:$M$36,10,FALSE),"")</f>
        <v>1</v>
      </c>
      <c r="G70" s="135">
        <f>IFERROR(VLOOKUP(C70,'01_RS ALCARRIA'!$D$6:$O$36,12,FALSE),"")</f>
        <v>3</v>
      </c>
      <c r="H70" s="138">
        <f>(F70+G70)*2</f>
        <v>8</v>
      </c>
      <c r="I70" s="135"/>
      <c r="J70" s="135"/>
      <c r="K70" s="138"/>
      <c r="L70" s="135"/>
      <c r="M70" s="135"/>
      <c r="N70" s="138"/>
      <c r="O70" s="135"/>
      <c r="P70" s="135"/>
      <c r="Q70" s="138"/>
      <c r="R70" s="135"/>
      <c r="S70" s="135"/>
      <c r="T70" s="138"/>
      <c r="U70" s="135"/>
      <c r="V70" s="135"/>
      <c r="W70" s="138"/>
      <c r="X70" s="139">
        <f t="shared" si="9"/>
        <v>8</v>
      </c>
      <c r="Y70" s="140" t="str">
        <f t="shared" si="10"/>
        <v>No</v>
      </c>
      <c r="Z70" s="141">
        <f t="shared" si="11"/>
        <v>1</v>
      </c>
      <c r="AB70" s="261" t="str">
        <f>IFERROR(VLOOKUP(C70,Tabla15[[Piloto]:[Puntos clase]],6, FALSE), " ")</f>
        <v>2RM</v>
      </c>
    </row>
    <row r="71" spans="2:28" ht="12.75" customHeight="1" x14ac:dyDescent="0.3">
      <c r="B71" s="133">
        <v>3</v>
      </c>
      <c r="C71" s="142" t="s">
        <v>408</v>
      </c>
      <c r="D71" s="482">
        <f>IFERROR(VLOOKUP(C71,Tabla15[[Piloto]:[Puntos clase]],7, FALSE), " ")</f>
        <v>5</v>
      </c>
      <c r="E71" s="482" t="str">
        <f>LEFT(AB71,LEN(AB71)-2)</f>
        <v>2</v>
      </c>
      <c r="F71" s="135">
        <v>0</v>
      </c>
      <c r="G71" s="135">
        <v>0</v>
      </c>
      <c r="H71" s="138">
        <f>(F71+G71)</f>
        <v>0</v>
      </c>
      <c r="I71" s="135">
        <f>IFERROR(VLOOKUP(C71,'02_TCT GUADAMUR'!$D$6:$M$36,10,FALSE),"")</f>
        <v>0</v>
      </c>
      <c r="J71" s="135">
        <f>IFERROR(VLOOKUP(C71,'02_TCT GUADAMUR'!$D$6:$O$36,12,FALSE),"")</f>
        <v>6</v>
      </c>
      <c r="K71" s="138">
        <f t="shared" ref="K71:K77" si="12">(I71+J71)</f>
        <v>6</v>
      </c>
      <c r="L71" s="135"/>
      <c r="M71" s="135"/>
      <c r="N71" s="138"/>
      <c r="O71" s="135"/>
      <c r="P71" s="135"/>
      <c r="Q71" s="138"/>
      <c r="R71" s="135"/>
      <c r="S71" s="135"/>
      <c r="T71" s="138"/>
      <c r="U71" s="135"/>
      <c r="V71" s="135"/>
      <c r="W71" s="138"/>
      <c r="X71" s="139">
        <f t="shared" si="9"/>
        <v>6</v>
      </c>
      <c r="Y71" s="140" t="str">
        <f t="shared" si="10"/>
        <v>No</v>
      </c>
      <c r="Z71" s="141">
        <f t="shared" si="11"/>
        <v>2</v>
      </c>
      <c r="AB71" s="261" t="str">
        <f>IFERROR(VLOOKUP(C71,Tabla15[[Piloto]:[Puntos clase]],6, FALSE), " ")</f>
        <v>2RM</v>
      </c>
    </row>
    <row r="72" spans="2:28" ht="12.75" customHeight="1" x14ac:dyDescent="0.3">
      <c r="B72" s="133">
        <v>8</v>
      </c>
      <c r="C72" s="142" t="s">
        <v>606</v>
      </c>
      <c r="D72" s="482">
        <v>3</v>
      </c>
      <c r="E72" s="482">
        <v>2</v>
      </c>
      <c r="F72" s="135">
        <f>IFERROR(VLOOKUP(C72,'01_RS ALCARRIA'!$D$6:$M$36,10,FALSE),"")</f>
        <v>0</v>
      </c>
      <c r="G72" s="135">
        <f>IFERROR(VLOOKUP(C72,'01_RS ALCARRIA'!$D$6:$O$36,12,FALSE),"")</f>
        <v>0</v>
      </c>
      <c r="H72" s="138">
        <f>(F72+G72)*2</f>
        <v>0</v>
      </c>
      <c r="I72" s="135">
        <f>IFERROR(VLOOKUP(C72,'02_TCT GUADAMUR'!$D$6:$M$36,10,FALSE),"")</f>
        <v>2</v>
      </c>
      <c r="J72" s="135">
        <f>IFERROR(VLOOKUP(C72,'02_TCT GUADAMUR'!$D$6:$O$36,12,FALSE),"")</f>
        <v>3</v>
      </c>
      <c r="K72" s="138">
        <f t="shared" si="12"/>
        <v>5</v>
      </c>
      <c r="L72" s="135"/>
      <c r="M72" s="135"/>
      <c r="N72" s="138"/>
      <c r="O72" s="135"/>
      <c r="P72" s="135"/>
      <c r="Q72" s="138"/>
      <c r="R72" s="135"/>
      <c r="S72" s="135"/>
      <c r="T72" s="138"/>
      <c r="U72" s="135"/>
      <c r="V72" s="135"/>
      <c r="W72" s="138"/>
      <c r="X72" s="139">
        <f t="shared" si="9"/>
        <v>5</v>
      </c>
      <c r="Y72" s="140" t="str">
        <f t="shared" si="10"/>
        <v>No</v>
      </c>
      <c r="Z72" s="141">
        <f t="shared" si="11"/>
        <v>2</v>
      </c>
      <c r="AB72" s="261" t="str">
        <f>IFERROR(VLOOKUP(C72,Tabla15[[Piloto]:[Puntos clase]],6, FALSE), " ")</f>
        <v>2RM</v>
      </c>
    </row>
    <row r="73" spans="2:28" ht="12.75" customHeight="1" x14ac:dyDescent="0.3">
      <c r="B73" s="133">
        <v>5</v>
      </c>
      <c r="C73" s="142" t="s">
        <v>674</v>
      </c>
      <c r="D73" s="482">
        <v>2</v>
      </c>
      <c r="E73" s="482">
        <v>2</v>
      </c>
      <c r="F73" s="135"/>
      <c r="G73" s="135"/>
      <c r="H73" s="138"/>
      <c r="I73" s="135">
        <f>IFERROR(VLOOKUP(C73,'02_TCT GUADAMUR'!$D$6:$M$36,10,FALSE),"")</f>
        <v>0</v>
      </c>
      <c r="J73" s="135">
        <f>IFERROR(VLOOKUP(C73,'02_TCT GUADAMUR'!$D$6:$O$36,12,FALSE),"")</f>
        <v>5</v>
      </c>
      <c r="K73" s="138">
        <f t="shared" si="12"/>
        <v>5</v>
      </c>
      <c r="L73" s="135"/>
      <c r="M73" s="135"/>
      <c r="N73" s="138"/>
      <c r="O73" s="135"/>
      <c r="P73" s="135"/>
      <c r="Q73" s="138"/>
      <c r="R73" s="135"/>
      <c r="S73" s="135"/>
      <c r="T73" s="138"/>
      <c r="U73" s="135"/>
      <c r="V73" s="135"/>
      <c r="W73" s="138"/>
      <c r="X73" s="139">
        <f t="shared" si="9"/>
        <v>5</v>
      </c>
      <c r="Y73" s="140" t="str">
        <f t="shared" si="10"/>
        <v>No</v>
      </c>
      <c r="Z73" s="141">
        <f t="shared" si="11"/>
        <v>1</v>
      </c>
      <c r="AB73" s="261" t="str">
        <f>IFERROR(VLOOKUP(C73,Tabla15[[Piloto]:[Puntos clase]],6, FALSE), " ")</f>
        <v xml:space="preserve"> </v>
      </c>
    </row>
    <row r="74" spans="2:28" ht="12.75" customHeight="1" x14ac:dyDescent="0.3">
      <c r="B74" s="133">
        <v>5</v>
      </c>
      <c r="C74" s="142" t="s">
        <v>676</v>
      </c>
      <c r="D74" s="482">
        <v>4</v>
      </c>
      <c r="E74" s="482">
        <v>2</v>
      </c>
      <c r="F74" s="135"/>
      <c r="G74" s="135"/>
      <c r="H74" s="138"/>
      <c r="I74" s="135">
        <f>IFERROR(VLOOKUP(C74,'02_TCT GUADAMUR'!$D$6:$M$36,10,FALSE),"")</f>
        <v>0</v>
      </c>
      <c r="J74" s="135">
        <f>IFERROR(VLOOKUP(C74,'02_TCT GUADAMUR'!$D$6:$O$36,12,FALSE),"")</f>
        <v>3</v>
      </c>
      <c r="K74" s="138">
        <f t="shared" si="12"/>
        <v>3</v>
      </c>
      <c r="L74" s="135"/>
      <c r="M74" s="135"/>
      <c r="N74" s="138"/>
      <c r="O74" s="135"/>
      <c r="P74" s="135"/>
      <c r="Q74" s="138"/>
      <c r="R74" s="135"/>
      <c r="S74" s="135"/>
      <c r="T74" s="138"/>
      <c r="U74" s="135"/>
      <c r="V74" s="135"/>
      <c r="W74" s="138"/>
      <c r="X74" s="139">
        <f t="shared" si="9"/>
        <v>3</v>
      </c>
      <c r="Y74" s="140" t="str">
        <f t="shared" si="10"/>
        <v>No</v>
      </c>
      <c r="Z74" s="141">
        <f t="shared" si="11"/>
        <v>1</v>
      </c>
      <c r="AB74" s="261" t="str">
        <f>IFERROR(VLOOKUP(C74,Tabla15[[Piloto]:[Puntos clase]],6, FALSE), " ")</f>
        <v xml:space="preserve"> </v>
      </c>
    </row>
    <row r="75" spans="2:28" ht="12.75" customHeight="1" x14ac:dyDescent="0.3">
      <c r="B75" s="133">
        <v>9</v>
      </c>
      <c r="C75" s="142" t="s">
        <v>604</v>
      </c>
      <c r="D75" s="482">
        <f>IFERROR(VLOOKUP(C75,Tabla15[[Piloto]:[Puntos clase]],7, FALSE), " ")</f>
        <v>3</v>
      </c>
      <c r="E75" s="482" t="str">
        <f t="shared" ref="E75:E80" si="13">LEFT(AB75,LEN(AB75)-2)</f>
        <v>2</v>
      </c>
      <c r="F75" s="135">
        <f>IFERROR(VLOOKUP(C75,'01_RS ALCARRIA'!$D$6:$M$36,10,FALSE),"")</f>
        <v>0</v>
      </c>
      <c r="G75" s="135">
        <f>IFERROR(VLOOKUP(C75,'01_RS ALCARRIA'!$D$6:$O$36,12,FALSE),"")</f>
        <v>1</v>
      </c>
      <c r="H75" s="138">
        <f>(F75+G75)*2</f>
        <v>2</v>
      </c>
      <c r="I75" s="135">
        <f>IFERROR(VLOOKUP(C75,'02_TCT GUADAMUR'!$D$6:$M$36,10,FALSE),"")</f>
        <v>0</v>
      </c>
      <c r="J75" s="135">
        <f>IFERROR(VLOOKUP(C75,'02_TCT GUADAMUR'!$D$6:$O$36,12,FALSE),"")</f>
        <v>0</v>
      </c>
      <c r="K75" s="138">
        <f t="shared" si="12"/>
        <v>0</v>
      </c>
      <c r="L75" s="135"/>
      <c r="M75" s="135"/>
      <c r="N75" s="138"/>
      <c r="O75" s="135"/>
      <c r="P75" s="135"/>
      <c r="Q75" s="138"/>
      <c r="R75" s="135"/>
      <c r="S75" s="135"/>
      <c r="T75" s="138"/>
      <c r="U75" s="135"/>
      <c r="V75" s="135"/>
      <c r="W75" s="138"/>
      <c r="X75" s="139">
        <f t="shared" si="9"/>
        <v>2</v>
      </c>
      <c r="Y75" s="140" t="str">
        <f t="shared" si="10"/>
        <v>No</v>
      </c>
      <c r="Z75" s="141">
        <f t="shared" si="11"/>
        <v>2</v>
      </c>
      <c r="AB75" s="261" t="str">
        <f>IFERROR(VLOOKUP(C75,Tabla15[[Piloto]:[Puntos clase]],6, FALSE), " ")</f>
        <v>2RM</v>
      </c>
    </row>
    <row r="76" spans="2:28" ht="12.75" customHeight="1" x14ac:dyDescent="0.3">
      <c r="B76" s="133">
        <v>10</v>
      </c>
      <c r="C76" s="134" t="s">
        <v>610</v>
      </c>
      <c r="D76" s="482">
        <f>IFERROR(VLOOKUP(C76,Tabla15[[Piloto]:[Puntos clase]],7, FALSE), " ")</f>
        <v>3</v>
      </c>
      <c r="E76" s="482" t="str">
        <f t="shared" si="13"/>
        <v>2</v>
      </c>
      <c r="F76" s="135">
        <f>IFERROR(VLOOKUP(C76,'01_RS ALCARRIA'!$D$6:$M$36,10,FALSE),"")</f>
        <v>0</v>
      </c>
      <c r="G76" s="135">
        <f>IFERROR(VLOOKUP(C76,'01_RS ALCARRIA'!$D$6:$O$36,12,FALSE),"")</f>
        <v>0</v>
      </c>
      <c r="H76" s="138">
        <f>(F76+G76)*2</f>
        <v>0</v>
      </c>
      <c r="I76" s="135">
        <f>IFERROR(VLOOKUP(C76,'02_TCT GUADAMUR'!$D$6:$M$36,10,FALSE),"")</f>
        <v>0</v>
      </c>
      <c r="J76" s="135">
        <f>IFERROR(VLOOKUP(C76,'02_TCT GUADAMUR'!$D$6:$O$36,12,FALSE),"")</f>
        <v>1</v>
      </c>
      <c r="K76" s="138">
        <f t="shared" si="12"/>
        <v>1</v>
      </c>
      <c r="L76" s="135"/>
      <c r="M76" s="135"/>
      <c r="N76" s="138"/>
      <c r="O76" s="135"/>
      <c r="P76" s="135"/>
      <c r="Q76" s="138"/>
      <c r="R76" s="135"/>
      <c r="S76" s="135"/>
      <c r="T76" s="138"/>
      <c r="U76" s="135"/>
      <c r="V76" s="135"/>
      <c r="W76" s="138"/>
      <c r="X76" s="139">
        <f t="shared" si="9"/>
        <v>1</v>
      </c>
      <c r="Y76" s="140" t="str">
        <f t="shared" si="10"/>
        <v>No</v>
      </c>
      <c r="Z76" s="141">
        <f t="shared" si="11"/>
        <v>2</v>
      </c>
      <c r="AB76" s="261" t="str">
        <f>IFERROR(VLOOKUP(C76,Tabla15[[Piloto]:[Puntos clase]],6, FALSE), " ")</f>
        <v>2RM</v>
      </c>
    </row>
    <row r="77" spans="2:28" ht="12.75" customHeight="1" x14ac:dyDescent="0.3">
      <c r="B77" s="133" t="s">
        <v>658</v>
      </c>
      <c r="C77" s="142" t="s">
        <v>607</v>
      </c>
      <c r="D77" s="482">
        <f>IFERROR(VLOOKUP(C77,Tabla15[[Piloto]:[Puntos clase]],7, FALSE), " ")</f>
        <v>3</v>
      </c>
      <c r="E77" s="482" t="str">
        <f t="shared" si="13"/>
        <v>2</v>
      </c>
      <c r="F77" s="135">
        <f>IFERROR(VLOOKUP(C77,'01_RS ALCARRIA'!$D$6:$M$36,10,FALSE),"")</f>
        <v>0</v>
      </c>
      <c r="G77" s="135">
        <f>IFERROR(VLOOKUP(C77,'01_RS ALCARRIA'!$D$6:$O$36,12,FALSE),"")</f>
        <v>0</v>
      </c>
      <c r="H77" s="138">
        <f>(F77+G77)*2</f>
        <v>0</v>
      </c>
      <c r="I77" s="135">
        <f>IFERROR(VLOOKUP(C77,'02_TCT GUADAMUR'!$D$6:$M$36,10,FALSE),"")</f>
        <v>0</v>
      </c>
      <c r="J77" s="135">
        <f>IFERROR(VLOOKUP(C77,'02_TCT GUADAMUR'!$D$6:$O$36,12,FALSE),"")</f>
        <v>0</v>
      </c>
      <c r="K77" s="138">
        <f t="shared" si="12"/>
        <v>0</v>
      </c>
      <c r="L77" s="135"/>
      <c r="M77" s="135"/>
      <c r="N77" s="138"/>
      <c r="O77" s="135"/>
      <c r="P77" s="135"/>
      <c r="Q77" s="138"/>
      <c r="R77" s="135"/>
      <c r="S77" s="135"/>
      <c r="T77" s="138"/>
      <c r="U77" s="135"/>
      <c r="V77" s="135"/>
      <c r="W77" s="138"/>
      <c r="X77" s="139">
        <f t="shared" si="9"/>
        <v>0</v>
      </c>
      <c r="Y77" s="140" t="str">
        <f t="shared" si="10"/>
        <v>No</v>
      </c>
      <c r="Z77" s="141">
        <f t="shared" si="11"/>
        <v>2</v>
      </c>
      <c r="AB77" s="261" t="str">
        <f>IFERROR(VLOOKUP(C77,Tabla15[[Piloto]:[Puntos clase]],6, FALSE), " ")</f>
        <v>2RM</v>
      </c>
    </row>
    <row r="78" spans="2:28" ht="12.75" customHeight="1" x14ac:dyDescent="0.3">
      <c r="B78" s="133" t="s">
        <v>658</v>
      </c>
      <c r="C78" s="142" t="s">
        <v>319</v>
      </c>
      <c r="D78" s="482">
        <f>IFERROR(VLOOKUP(C78,Tabla15[[Piloto]:[Puntos clase]],7, FALSE), " ")</f>
        <v>3</v>
      </c>
      <c r="E78" s="482" t="str">
        <f t="shared" si="13"/>
        <v>2</v>
      </c>
      <c r="F78" s="135">
        <f>IFERROR(VLOOKUP(C78,'01_RS ALCARRIA'!$D$6:$M$36,10,FALSE),"")</f>
        <v>0</v>
      </c>
      <c r="G78" s="135">
        <f>IFERROR(VLOOKUP(C78,'01_RS ALCARRIA'!$D$6:$O$36,12,FALSE),"")</f>
        <v>0</v>
      </c>
      <c r="H78" s="138">
        <f>(F78+G78)*2</f>
        <v>0</v>
      </c>
      <c r="I78" s="135"/>
      <c r="J78" s="135"/>
      <c r="K78" s="138"/>
      <c r="L78" s="135"/>
      <c r="M78" s="135"/>
      <c r="N78" s="138"/>
      <c r="O78" s="135"/>
      <c r="P78" s="135"/>
      <c r="Q78" s="138"/>
      <c r="R78" s="135"/>
      <c r="S78" s="135"/>
      <c r="T78" s="138"/>
      <c r="U78" s="135"/>
      <c r="V78" s="135"/>
      <c r="W78" s="138"/>
      <c r="X78" s="139">
        <f t="shared" si="9"/>
        <v>0</v>
      </c>
      <c r="Y78" s="140" t="str">
        <f t="shared" si="10"/>
        <v>No</v>
      </c>
      <c r="Z78" s="141">
        <f t="shared" si="11"/>
        <v>1</v>
      </c>
      <c r="AB78" s="261" t="str">
        <f>IFERROR(VLOOKUP(C78,Tabla15[[Piloto]:[Puntos clase]],6, FALSE), " ")</f>
        <v>2RM</v>
      </c>
    </row>
    <row r="79" spans="2:28" ht="12.75" customHeight="1" x14ac:dyDescent="0.3">
      <c r="B79" s="133" t="s">
        <v>658</v>
      </c>
      <c r="C79" s="142" t="s">
        <v>619</v>
      </c>
      <c r="D79" s="482">
        <f>IFERROR(VLOOKUP(C79,Tabla15[[Piloto]:[Puntos clase]],7, FALSE), " ")</f>
        <v>3</v>
      </c>
      <c r="E79" s="482" t="str">
        <f t="shared" si="13"/>
        <v>2</v>
      </c>
      <c r="F79" s="135">
        <f>IFERROR(VLOOKUP(C79,'01_RS ALCARRIA'!$D$6:$M$36,10,FALSE),"")</f>
        <v>0</v>
      </c>
      <c r="G79" s="135">
        <f>IFERROR(VLOOKUP(C79,'01_RS ALCARRIA'!$D$6:$O$36,12,FALSE),"")</f>
        <v>0</v>
      </c>
      <c r="H79" s="138">
        <f>(F79+G79)*2</f>
        <v>0</v>
      </c>
      <c r="I79" s="135"/>
      <c r="J79" s="135"/>
      <c r="K79" s="138"/>
      <c r="L79" s="135"/>
      <c r="M79" s="135"/>
      <c r="N79" s="138"/>
      <c r="O79" s="135"/>
      <c r="P79" s="135"/>
      <c r="Q79" s="138"/>
      <c r="R79" s="135"/>
      <c r="S79" s="135"/>
      <c r="T79" s="138"/>
      <c r="U79" s="135"/>
      <c r="V79" s="135"/>
      <c r="W79" s="138"/>
      <c r="X79" s="139">
        <f t="shared" si="9"/>
        <v>0</v>
      </c>
      <c r="Y79" s="140" t="str">
        <f t="shared" si="10"/>
        <v>No</v>
      </c>
      <c r="Z79" s="141">
        <f t="shared" si="11"/>
        <v>1</v>
      </c>
      <c r="AB79" s="261" t="str">
        <f>IFERROR(VLOOKUP(C79,Tabla15[[Piloto]:[Puntos clase]],6, FALSE), " ")</f>
        <v>2RM</v>
      </c>
    </row>
    <row r="80" spans="2:28" ht="12.75" customHeight="1" x14ac:dyDescent="0.3">
      <c r="B80" s="133" t="s">
        <v>658</v>
      </c>
      <c r="C80" s="142" t="s">
        <v>628</v>
      </c>
      <c r="D80" s="482">
        <f>IFERROR(VLOOKUP(C80,Tabla15[[Piloto]:[Puntos clase]],7, FALSE), " ")</f>
        <v>2</v>
      </c>
      <c r="E80" s="482" t="str">
        <f t="shared" si="13"/>
        <v>2</v>
      </c>
      <c r="F80" s="135">
        <v>0</v>
      </c>
      <c r="G80" s="135">
        <v>0</v>
      </c>
      <c r="H80" s="138">
        <f>(F80+G80)</f>
        <v>0</v>
      </c>
      <c r="I80" s="135">
        <v>0</v>
      </c>
      <c r="J80" s="135">
        <v>0</v>
      </c>
      <c r="K80" s="138">
        <f>(I80+J80)</f>
        <v>0</v>
      </c>
      <c r="L80" s="135"/>
      <c r="M80" s="135"/>
      <c r="N80" s="138"/>
      <c r="O80" s="135"/>
      <c r="P80" s="135"/>
      <c r="Q80" s="138"/>
      <c r="R80" s="135"/>
      <c r="S80" s="135"/>
      <c r="T80" s="138"/>
      <c r="U80" s="135"/>
      <c r="V80" s="135"/>
      <c r="W80" s="138"/>
      <c r="X80" s="139">
        <f t="shared" si="9"/>
        <v>0</v>
      </c>
      <c r="Y80" s="140" t="str">
        <f t="shared" si="10"/>
        <v>No</v>
      </c>
      <c r="Z80" s="141">
        <f t="shared" si="11"/>
        <v>2</v>
      </c>
      <c r="AB80" s="261" t="str">
        <f>IFERROR(VLOOKUP(C80,Tabla15[[Piloto]:[Puntos clase]],6, FALSE), " ")</f>
        <v>2RM</v>
      </c>
    </row>
    <row r="81" spans="2:29" ht="12.75" customHeight="1" x14ac:dyDescent="0.3">
      <c r="B81" s="133" t="s">
        <v>658</v>
      </c>
      <c r="C81" s="142" t="s">
        <v>632</v>
      </c>
      <c r="D81" s="482">
        <v>3</v>
      </c>
      <c r="E81" s="482">
        <v>2</v>
      </c>
      <c r="F81" s="135">
        <v>0</v>
      </c>
      <c r="G81" s="135">
        <v>0</v>
      </c>
      <c r="H81" s="138">
        <f>(F81+G81)</f>
        <v>0</v>
      </c>
      <c r="I81" s="135"/>
      <c r="J81" s="135"/>
      <c r="K81" s="138"/>
      <c r="L81" s="135"/>
      <c r="M81" s="135"/>
      <c r="N81" s="138"/>
      <c r="O81" s="135"/>
      <c r="P81" s="135"/>
      <c r="Q81" s="138"/>
      <c r="R81" s="135"/>
      <c r="S81" s="135"/>
      <c r="T81" s="138"/>
      <c r="U81" s="135"/>
      <c r="V81" s="135"/>
      <c r="W81" s="138"/>
      <c r="X81" s="139">
        <f t="shared" si="9"/>
        <v>0</v>
      </c>
      <c r="Y81" s="140" t="str">
        <f t="shared" si="10"/>
        <v>No</v>
      </c>
      <c r="Z81" s="141">
        <f t="shared" si="11"/>
        <v>1</v>
      </c>
      <c r="AB81" s="261" t="str">
        <f>IFERROR(VLOOKUP(C81,Tabla15[[Piloto]:[Puntos clase]],6, FALSE), " ")</f>
        <v>2RM</v>
      </c>
    </row>
    <row r="82" spans="2:29" ht="12.75" customHeight="1" x14ac:dyDescent="0.3">
      <c r="B82" s="133" t="s">
        <v>658</v>
      </c>
      <c r="C82" s="142" t="s">
        <v>635</v>
      </c>
      <c r="D82" s="482">
        <f>IFERROR(VLOOKUP(C82,Tabla15[[Piloto]:[Puntos clase]],7, FALSE), " ")</f>
        <v>5</v>
      </c>
      <c r="E82" s="482">
        <v>2</v>
      </c>
      <c r="F82" s="135">
        <v>0</v>
      </c>
      <c r="G82" s="135">
        <v>0</v>
      </c>
      <c r="H82" s="138">
        <f>(F82+G82)</f>
        <v>0</v>
      </c>
      <c r="I82" s="135"/>
      <c r="J82" s="135"/>
      <c r="K82" s="138"/>
      <c r="L82" s="135"/>
      <c r="M82" s="135"/>
      <c r="N82" s="138"/>
      <c r="O82" s="135"/>
      <c r="P82" s="135"/>
      <c r="Q82" s="138"/>
      <c r="R82" s="135"/>
      <c r="S82" s="135"/>
      <c r="T82" s="138"/>
      <c r="U82" s="135"/>
      <c r="V82" s="135"/>
      <c r="W82" s="138"/>
      <c r="X82" s="139">
        <f t="shared" si="9"/>
        <v>0</v>
      </c>
      <c r="Y82" s="140" t="str">
        <f t="shared" si="10"/>
        <v>No</v>
      </c>
      <c r="Z82" s="141">
        <f t="shared" si="11"/>
        <v>1</v>
      </c>
      <c r="AB82" s="261" t="str">
        <f>IFERROR(VLOOKUP(C82,Tabla15[[Piloto]:[Puntos clase]],6, FALSE), " ")</f>
        <v>2RM</v>
      </c>
    </row>
    <row r="83" spans="2:29" ht="12.75" customHeight="1" x14ac:dyDescent="0.3">
      <c r="B83" s="133" t="s">
        <v>658</v>
      </c>
      <c r="C83" s="142" t="s">
        <v>637</v>
      </c>
      <c r="D83" s="482">
        <f>IFERROR(VLOOKUP(C83,Tabla15[[Piloto]:[Puntos clase]],7, FALSE), " ")</f>
        <v>4</v>
      </c>
      <c r="E83" s="482">
        <v>2</v>
      </c>
      <c r="F83" s="135">
        <v>0</v>
      </c>
      <c r="G83" s="135">
        <v>0</v>
      </c>
      <c r="H83" s="138">
        <f>(F83+G83)</f>
        <v>0</v>
      </c>
      <c r="I83" s="135"/>
      <c r="J83" s="135"/>
      <c r="K83" s="138"/>
      <c r="L83" s="135"/>
      <c r="M83" s="135"/>
      <c r="N83" s="138"/>
      <c r="O83" s="135"/>
      <c r="P83" s="135"/>
      <c r="Q83" s="138"/>
      <c r="R83" s="135"/>
      <c r="S83" s="135"/>
      <c r="T83" s="138"/>
      <c r="U83" s="135"/>
      <c r="V83" s="135"/>
      <c r="W83" s="138"/>
      <c r="X83" s="139">
        <f t="shared" si="9"/>
        <v>0</v>
      </c>
      <c r="Y83" s="140" t="str">
        <f t="shared" si="10"/>
        <v>No</v>
      </c>
      <c r="Z83" s="141">
        <f t="shared" si="11"/>
        <v>1</v>
      </c>
      <c r="AB83" s="261" t="str">
        <f>IFERROR(VLOOKUP(C83,Tabla15[[Piloto]:[Puntos clase]],6, FALSE), " ")</f>
        <v>2RM</v>
      </c>
    </row>
    <row r="84" spans="2:29" ht="12.75" customHeight="1" x14ac:dyDescent="0.3">
      <c r="B84" s="133" t="s">
        <v>658</v>
      </c>
      <c r="C84" s="142" t="s">
        <v>238</v>
      </c>
      <c r="D84" s="482">
        <v>1</v>
      </c>
      <c r="E84" s="482">
        <v>4</v>
      </c>
      <c r="F84" s="135"/>
      <c r="G84" s="135"/>
      <c r="H84" s="138"/>
      <c r="I84" s="135">
        <v>0</v>
      </c>
      <c r="J84" s="135">
        <v>0</v>
      </c>
      <c r="K84" s="138">
        <f>(I84+J84)</f>
        <v>0</v>
      </c>
      <c r="L84" s="135"/>
      <c r="M84" s="135"/>
      <c r="N84" s="138"/>
      <c r="O84" s="135"/>
      <c r="P84" s="135"/>
      <c r="Q84" s="138"/>
      <c r="R84" s="135"/>
      <c r="S84" s="135"/>
      <c r="T84" s="138"/>
      <c r="U84" s="135"/>
      <c r="V84" s="135"/>
      <c r="W84" s="138"/>
      <c r="X84" s="139">
        <f t="shared" si="9"/>
        <v>0</v>
      </c>
      <c r="Y84" s="140" t="str">
        <f t="shared" si="10"/>
        <v>No</v>
      </c>
      <c r="Z84" s="141">
        <f t="shared" si="11"/>
        <v>1</v>
      </c>
      <c r="AB84" s="261" t="str">
        <f>IFERROR(VLOOKUP(C84,Tabla15[[Piloto]:[Puntos clase]],6, FALSE), " ")</f>
        <v xml:space="preserve"> </v>
      </c>
    </row>
    <row r="85" spans="2:29" ht="12.75" customHeight="1" x14ac:dyDescent="0.3">
      <c r="B85" s="133" t="s">
        <v>658</v>
      </c>
      <c r="C85" s="142" t="s">
        <v>678</v>
      </c>
      <c r="D85" s="482">
        <v>1</v>
      </c>
      <c r="E85" s="482">
        <v>4</v>
      </c>
      <c r="F85" s="135"/>
      <c r="G85" s="135"/>
      <c r="H85" s="138"/>
      <c r="I85" s="135">
        <v>0</v>
      </c>
      <c r="J85" s="135">
        <v>0</v>
      </c>
      <c r="K85" s="138">
        <f>(I85+J85)</f>
        <v>0</v>
      </c>
      <c r="L85" s="135"/>
      <c r="M85" s="135"/>
      <c r="N85" s="138"/>
      <c r="O85" s="135"/>
      <c r="P85" s="135"/>
      <c r="Q85" s="138"/>
      <c r="R85" s="135"/>
      <c r="S85" s="135"/>
      <c r="T85" s="138"/>
      <c r="U85" s="135"/>
      <c r="V85" s="135"/>
      <c r="W85" s="138"/>
      <c r="X85" s="139">
        <f t="shared" si="9"/>
        <v>0</v>
      </c>
      <c r="Y85" s="140" t="str">
        <f t="shared" si="10"/>
        <v>No</v>
      </c>
      <c r="Z85" s="141">
        <f t="shared" si="11"/>
        <v>1</v>
      </c>
      <c r="AB85" s="261" t="str">
        <f>IFERROR(VLOOKUP(C85,Tabla15[[Piloto]:[Puntos clase]],6, FALSE), " ")</f>
        <v xml:space="preserve"> </v>
      </c>
    </row>
    <row r="86" spans="2:29" ht="12.75" customHeight="1" x14ac:dyDescent="0.3">
      <c r="B86" s="133" t="s">
        <v>658</v>
      </c>
      <c r="C86" s="142" t="s">
        <v>680</v>
      </c>
      <c r="D86" s="482">
        <v>3</v>
      </c>
      <c r="E86" s="482">
        <v>2</v>
      </c>
      <c r="F86" s="135"/>
      <c r="G86" s="135"/>
      <c r="H86" s="138"/>
      <c r="I86" s="135">
        <v>0</v>
      </c>
      <c r="J86" s="135">
        <v>0</v>
      </c>
      <c r="K86" s="138">
        <f>(I86+J86)</f>
        <v>0</v>
      </c>
      <c r="L86" s="135"/>
      <c r="M86" s="135"/>
      <c r="N86" s="138"/>
      <c r="O86" s="135"/>
      <c r="P86" s="135"/>
      <c r="Q86" s="138"/>
      <c r="R86" s="135"/>
      <c r="S86" s="135"/>
      <c r="T86" s="138"/>
      <c r="U86" s="135"/>
      <c r="V86" s="135"/>
      <c r="W86" s="138"/>
      <c r="X86" s="139">
        <f t="shared" si="9"/>
        <v>0</v>
      </c>
      <c r="Y86" s="140" t="str">
        <f t="shared" si="10"/>
        <v>No</v>
      </c>
      <c r="Z86" s="141">
        <f t="shared" si="11"/>
        <v>1</v>
      </c>
      <c r="AB86" s="261" t="str">
        <f>IFERROR(VLOOKUP(C86,Tabla15[[Piloto]:[Puntos clase]],6, FALSE), " ")</f>
        <v xml:space="preserve"> </v>
      </c>
    </row>
    <row r="87" spans="2:29" ht="12.75" customHeight="1" x14ac:dyDescent="0.3">
      <c r="B87" s="133" t="s">
        <v>658</v>
      </c>
      <c r="C87" s="142" t="s">
        <v>683</v>
      </c>
      <c r="D87" s="482">
        <v>4</v>
      </c>
      <c r="E87" s="482">
        <v>2</v>
      </c>
      <c r="F87" s="135"/>
      <c r="G87" s="135"/>
      <c r="H87" s="138"/>
      <c r="I87" s="135">
        <v>0</v>
      </c>
      <c r="J87" s="135">
        <v>0</v>
      </c>
      <c r="K87" s="138">
        <f>(I87+J87)</f>
        <v>0</v>
      </c>
      <c r="L87" s="135"/>
      <c r="M87" s="135"/>
      <c r="N87" s="138"/>
      <c r="O87" s="135"/>
      <c r="P87" s="135"/>
      <c r="Q87" s="138"/>
      <c r="R87" s="135"/>
      <c r="S87" s="135"/>
      <c r="T87" s="138"/>
      <c r="U87" s="135"/>
      <c r="V87" s="135"/>
      <c r="W87" s="138"/>
      <c r="X87" s="139">
        <f t="shared" si="9"/>
        <v>0</v>
      </c>
      <c r="Y87" s="140" t="str">
        <f t="shared" si="10"/>
        <v>No</v>
      </c>
      <c r="Z87" s="141">
        <f t="shared" si="11"/>
        <v>1</v>
      </c>
      <c r="AB87" s="261" t="str">
        <f>IFERROR(VLOOKUP(C87,Tabla15[[Piloto]:[Puntos clase]],6, FALSE), " ")</f>
        <v xml:space="preserve"> </v>
      </c>
    </row>
    <row r="88" spans="2:29" ht="12.75" customHeight="1" x14ac:dyDescent="0.3">
      <c r="B88" s="144"/>
      <c r="C88" s="145"/>
      <c r="D88" s="146"/>
      <c r="E88" s="146"/>
      <c r="F88" s="146"/>
      <c r="G88" s="146"/>
      <c r="H88" s="146"/>
      <c r="I88" s="146"/>
      <c r="J88" s="146"/>
      <c r="K88" s="146"/>
      <c r="L88" s="146"/>
      <c r="M88" s="146"/>
      <c r="N88" s="146"/>
      <c r="O88" s="146"/>
      <c r="P88" s="146"/>
      <c r="Q88" s="146"/>
      <c r="R88" s="146"/>
      <c r="S88" s="146"/>
      <c r="T88" s="146"/>
      <c r="U88" s="146"/>
      <c r="V88" s="146"/>
      <c r="W88" s="146"/>
      <c r="X88" s="146"/>
      <c r="Y88" s="143"/>
      <c r="Z88" s="147"/>
      <c r="AA88" s="148"/>
      <c r="AB88" s="262"/>
    </row>
    <row r="89" spans="2:29" ht="12" x14ac:dyDescent="0.3">
      <c r="B89" s="144"/>
      <c r="C89" s="235"/>
      <c r="D89" s="228" t="s">
        <v>6</v>
      </c>
      <c r="E89" s="347" t="s">
        <v>5</v>
      </c>
      <c r="F89" s="146"/>
      <c r="G89" s="146"/>
      <c r="H89" s="146"/>
      <c r="I89" s="146"/>
      <c r="J89" s="146"/>
      <c r="K89" s="146"/>
      <c r="L89" s="146"/>
      <c r="M89" s="146"/>
      <c r="N89" s="146"/>
      <c r="O89" s="146"/>
      <c r="P89" s="146"/>
      <c r="Q89" s="146"/>
      <c r="R89" s="146"/>
      <c r="S89" s="146"/>
      <c r="T89" s="146"/>
      <c r="U89" s="146"/>
      <c r="V89" s="146"/>
      <c r="W89" s="146"/>
      <c r="X89" s="146"/>
      <c r="Y89" s="149"/>
      <c r="Z89" s="147"/>
      <c r="AA89" s="148"/>
      <c r="AB89" s="262"/>
    </row>
    <row r="90" spans="2:29" ht="3.75" customHeight="1" thickBot="1" x14ac:dyDescent="0.35">
      <c r="B90" s="1"/>
      <c r="C90" s="235"/>
      <c r="D90" s="146"/>
      <c r="E90" s="120"/>
      <c r="F90" s="2"/>
      <c r="G90" s="2"/>
      <c r="H90" s="3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5"/>
      <c r="AC90" s="2"/>
    </row>
    <row r="91" spans="2:29" ht="12.75" customHeight="1" thickBot="1" x14ac:dyDescent="0.35">
      <c r="B91" s="1"/>
      <c r="C91" s="235"/>
      <c r="D91" s="233">
        <v>2</v>
      </c>
      <c r="E91" s="347" t="s">
        <v>7</v>
      </c>
      <c r="F91" s="147"/>
      <c r="G91" s="147"/>
      <c r="H91" s="147"/>
      <c r="I91" s="147"/>
      <c r="J91" s="147"/>
      <c r="K91" s="147"/>
      <c r="L91" s="147"/>
      <c r="M91" s="147"/>
      <c r="N91" s="147"/>
      <c r="O91" s="147"/>
      <c r="P91" s="147"/>
      <c r="Q91" s="147"/>
      <c r="R91" s="147"/>
      <c r="S91" s="147"/>
      <c r="T91" s="147"/>
      <c r="U91" s="147"/>
      <c r="V91" s="147"/>
      <c r="W91" s="147"/>
      <c r="X91" s="147"/>
      <c r="Y91" s="147"/>
      <c r="Z91" s="147"/>
      <c r="AA91" s="148"/>
      <c r="AB91" s="262"/>
    </row>
    <row r="92" spans="2:29" ht="3.75" customHeight="1" x14ac:dyDescent="0.3">
      <c r="B92" s="1"/>
      <c r="C92" s="235"/>
      <c r="D92" s="146"/>
      <c r="E92" s="120"/>
      <c r="F92" s="2"/>
      <c r="G92" s="2"/>
      <c r="H92" s="3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5"/>
      <c r="AC92" s="2"/>
    </row>
    <row r="93" spans="2:29" ht="12.75" customHeight="1" x14ac:dyDescent="0.3">
      <c r="B93" s="1"/>
      <c r="C93" s="235"/>
      <c r="D93" s="284"/>
      <c r="E93" s="285" t="s">
        <v>534</v>
      </c>
      <c r="F93" s="147"/>
      <c r="G93" s="147"/>
      <c r="H93" s="147"/>
      <c r="I93" s="147"/>
      <c r="J93" s="147"/>
      <c r="K93" s="147"/>
      <c r="L93" s="147"/>
      <c r="M93" s="147"/>
      <c r="N93" s="147"/>
      <c r="O93" s="147"/>
      <c r="P93" s="147"/>
      <c r="Q93" s="147"/>
      <c r="R93" s="147"/>
      <c r="S93" s="147"/>
      <c r="T93" s="147"/>
      <c r="U93" s="147"/>
      <c r="V93" s="147"/>
      <c r="W93" s="147"/>
      <c r="X93" s="147"/>
      <c r="Y93" s="147"/>
      <c r="Z93" s="147"/>
      <c r="AA93" s="148"/>
      <c r="AB93" s="262"/>
    </row>
    <row r="94" spans="2:29" ht="3.75" customHeight="1" x14ac:dyDescent="0.3">
      <c r="B94" s="1"/>
      <c r="C94" s="235"/>
      <c r="D94" s="239"/>
      <c r="E94" s="120"/>
      <c r="F94" s="147"/>
      <c r="G94" s="147"/>
      <c r="H94" s="147"/>
      <c r="I94" s="147"/>
      <c r="J94" s="147"/>
      <c r="K94" s="147"/>
      <c r="L94" s="147"/>
      <c r="M94" s="147"/>
      <c r="N94" s="147"/>
      <c r="O94" s="147"/>
      <c r="P94" s="147"/>
      <c r="Q94" s="147"/>
      <c r="R94" s="147"/>
      <c r="S94" s="147"/>
      <c r="T94" s="147"/>
      <c r="U94" s="147"/>
      <c r="V94" s="147"/>
      <c r="W94" s="147"/>
      <c r="X94" s="147"/>
      <c r="Y94" s="147"/>
      <c r="Z94" s="147"/>
      <c r="AA94" s="148"/>
      <c r="AB94" s="262"/>
    </row>
    <row r="95" spans="2:29" ht="13.5" customHeight="1" x14ac:dyDescent="0.3">
      <c r="B95" s="1"/>
      <c r="C95" s="236"/>
      <c r="D95" s="142" t="s">
        <v>691</v>
      </c>
      <c r="E95" s="130" t="s">
        <v>692</v>
      </c>
      <c r="F95" s="147"/>
      <c r="G95" s="147"/>
      <c r="H95" s="147"/>
      <c r="I95" s="147"/>
      <c r="J95" s="147"/>
      <c r="K95" s="147"/>
      <c r="L95" s="147"/>
      <c r="M95" s="147"/>
      <c r="N95" s="147"/>
      <c r="O95" s="147"/>
      <c r="P95" s="147"/>
      <c r="Q95" s="147"/>
      <c r="R95" s="147"/>
      <c r="S95" s="147"/>
      <c r="T95" s="147"/>
      <c r="U95" s="147"/>
      <c r="V95" s="147"/>
      <c r="W95" s="147"/>
      <c r="X95" s="147"/>
      <c r="Y95" s="147"/>
      <c r="Z95" s="147"/>
      <c r="AA95" s="148"/>
      <c r="AB95" s="262"/>
    </row>
    <row r="96" spans="2:29" ht="6" customHeight="1" x14ac:dyDescent="0.3">
      <c r="B96" s="1"/>
      <c r="C96" s="236"/>
      <c r="D96" s="155"/>
      <c r="E96" s="155"/>
      <c r="F96" s="147"/>
      <c r="G96" s="147"/>
      <c r="H96" s="147"/>
      <c r="I96" s="147"/>
      <c r="J96" s="147"/>
      <c r="K96" s="147"/>
      <c r="L96" s="147"/>
      <c r="M96" s="147"/>
      <c r="N96" s="147"/>
      <c r="O96" s="147"/>
      <c r="P96" s="147"/>
      <c r="Q96" s="147"/>
      <c r="R96" s="147"/>
      <c r="S96" s="147"/>
      <c r="T96" s="147"/>
      <c r="U96" s="147"/>
      <c r="V96" s="147"/>
      <c r="W96" s="147"/>
      <c r="X96" s="147"/>
      <c r="Y96" s="147"/>
      <c r="Z96" s="147"/>
      <c r="AA96" s="148"/>
      <c r="AB96" s="262"/>
    </row>
    <row r="97" spans="2:35" ht="39" customHeight="1" x14ac:dyDescent="0.55000000000000004">
      <c r="B97" s="164" t="s">
        <v>516</v>
      </c>
      <c r="C97" s="165"/>
      <c r="D97" s="165"/>
      <c r="E97" s="165"/>
      <c r="F97" s="165"/>
      <c r="G97" s="165"/>
      <c r="H97" s="165"/>
      <c r="I97" s="165"/>
      <c r="J97" s="165"/>
      <c r="K97" s="165"/>
      <c r="L97" s="165"/>
      <c r="M97" s="165"/>
      <c r="N97" s="165"/>
      <c r="O97" s="165"/>
      <c r="P97" s="165"/>
      <c r="Q97" s="165"/>
      <c r="R97" s="165"/>
      <c r="S97" s="165"/>
      <c r="T97" s="165"/>
      <c r="U97" s="165"/>
      <c r="V97" s="165"/>
      <c r="W97" s="165"/>
      <c r="X97" s="165"/>
    </row>
    <row r="98" spans="2:35" ht="37.5" customHeight="1" x14ac:dyDescent="0.3">
      <c r="B98" s="166" t="s">
        <v>338</v>
      </c>
      <c r="C98" s="167"/>
      <c r="D98" s="167"/>
      <c r="E98" s="167"/>
      <c r="F98" s="167"/>
      <c r="G98" s="167"/>
      <c r="H98" s="167"/>
      <c r="I98" s="167"/>
      <c r="J98" s="167"/>
      <c r="K98" s="167"/>
      <c r="L98" s="167"/>
      <c r="M98" s="167"/>
      <c r="N98" s="167"/>
      <c r="O98" s="167"/>
      <c r="P98" s="167"/>
      <c r="Q98" s="167"/>
      <c r="R98" s="167"/>
      <c r="S98" s="167"/>
      <c r="T98" s="167"/>
      <c r="U98" s="167"/>
      <c r="V98" s="167"/>
      <c r="W98" s="167"/>
      <c r="X98" s="167"/>
      <c r="Y98" s="30"/>
      <c r="Z98" s="30"/>
    </row>
    <row r="99" spans="2:35" ht="12.75" customHeight="1" x14ac:dyDescent="0.3">
      <c r="B99" s="162"/>
      <c r="C99" s="168"/>
      <c r="D99" s="161"/>
      <c r="E99" s="161"/>
      <c r="F99" s="222" t="s">
        <v>220</v>
      </c>
      <c r="G99" s="223"/>
      <c r="H99" s="224"/>
      <c r="I99" s="222" t="s">
        <v>663</v>
      </c>
      <c r="J99" s="225"/>
      <c r="K99" s="226"/>
      <c r="L99" s="222" t="s">
        <v>532</v>
      </c>
      <c r="M99" s="225"/>
      <c r="N99" s="226"/>
      <c r="O99" s="222" t="s">
        <v>526</v>
      </c>
      <c r="P99" s="225"/>
      <c r="Q99" s="226"/>
      <c r="R99" s="222" t="s">
        <v>287</v>
      </c>
      <c r="S99" s="225"/>
      <c r="T99" s="226"/>
      <c r="U99" s="413" t="s">
        <v>527</v>
      </c>
      <c r="V99" s="226"/>
      <c r="W99" s="226"/>
      <c r="X99" s="161" t="s">
        <v>213</v>
      </c>
      <c r="Y99" s="30"/>
      <c r="Z99" s="30"/>
    </row>
    <row r="100" spans="2:35" ht="12.75" customHeight="1" x14ac:dyDescent="0.3">
      <c r="B100" s="159" t="s">
        <v>0</v>
      </c>
      <c r="C100" s="170" t="s">
        <v>166</v>
      </c>
      <c r="D100" s="160" t="s">
        <v>2</v>
      </c>
      <c r="E100" s="160" t="s">
        <v>3</v>
      </c>
      <c r="F100" s="217" t="s">
        <v>523</v>
      </c>
      <c r="G100" s="218"/>
      <c r="H100" s="219"/>
      <c r="I100" s="217" t="s">
        <v>525</v>
      </c>
      <c r="J100" s="220"/>
      <c r="K100" s="221"/>
      <c r="L100" s="217" t="s">
        <v>664</v>
      </c>
      <c r="M100" s="220"/>
      <c r="N100" s="221"/>
      <c r="O100" s="217" t="s">
        <v>529</v>
      </c>
      <c r="P100" s="220"/>
      <c r="Q100" s="221"/>
      <c r="R100" s="217" t="s">
        <v>530</v>
      </c>
      <c r="S100" s="220"/>
      <c r="T100" s="221"/>
      <c r="U100" s="414" t="s">
        <v>528</v>
      </c>
      <c r="V100" s="255"/>
      <c r="W100" s="415"/>
      <c r="X100" s="160" t="s">
        <v>9</v>
      </c>
      <c r="Y100" s="519" t="s">
        <v>223</v>
      </c>
      <c r="Z100" s="521" t="s">
        <v>4</v>
      </c>
    </row>
    <row r="101" spans="2:35" ht="12.75" customHeight="1" thickBot="1" x14ac:dyDescent="0.35">
      <c r="B101" s="163"/>
      <c r="C101" s="169"/>
      <c r="D101" s="157"/>
      <c r="E101" s="476"/>
      <c r="F101" s="131" t="s">
        <v>33</v>
      </c>
      <c r="G101" s="131" t="s">
        <v>34</v>
      </c>
      <c r="H101" s="132" t="s">
        <v>35</v>
      </c>
      <c r="I101" s="131" t="s">
        <v>33</v>
      </c>
      <c r="J101" s="131" t="s">
        <v>34</v>
      </c>
      <c r="K101" s="132" t="s">
        <v>35</v>
      </c>
      <c r="L101" s="131" t="s">
        <v>33</v>
      </c>
      <c r="M101" s="131" t="s">
        <v>34</v>
      </c>
      <c r="N101" s="132" t="s">
        <v>35</v>
      </c>
      <c r="O101" s="131" t="s">
        <v>33</v>
      </c>
      <c r="P101" s="131" t="s">
        <v>34</v>
      </c>
      <c r="Q101" s="132" t="s">
        <v>35</v>
      </c>
      <c r="R101" s="131" t="s">
        <v>33</v>
      </c>
      <c r="S101" s="131" t="s">
        <v>34</v>
      </c>
      <c r="T101" s="132" t="s">
        <v>35</v>
      </c>
      <c r="U101" s="131" t="s">
        <v>33</v>
      </c>
      <c r="V101" s="131" t="s">
        <v>34</v>
      </c>
      <c r="W101" s="132" t="s">
        <v>35</v>
      </c>
      <c r="X101" s="157"/>
      <c r="Y101" s="520"/>
      <c r="Z101" s="522"/>
    </row>
    <row r="102" spans="2:35" ht="12.75" customHeight="1" thickBot="1" x14ac:dyDescent="0.35">
      <c r="B102" s="133">
        <v>1</v>
      </c>
      <c r="C102" s="142" t="s">
        <v>575</v>
      </c>
      <c r="D102" s="481">
        <v>2</v>
      </c>
      <c r="E102" s="477" t="str">
        <f t="shared" ref="E102:E109" si="14">LEFT(AB102,LEN(AB102)-2)</f>
        <v>2</v>
      </c>
      <c r="F102" s="475">
        <f>IFERROR(VLOOKUP(C102,'01_RS ALCARRIA'!$F$6:$R$36,13,FALSE),"")</f>
        <v>25</v>
      </c>
      <c r="G102" s="135">
        <f>IFERROR(VLOOKUP(C102,'01_RS ALCARRIA'!$F$6:$T$36,15,FALSE),"")</f>
        <v>10</v>
      </c>
      <c r="H102" s="138">
        <f t="shared" ref="H102:H109" si="15">(F102+G102)*2</f>
        <v>70</v>
      </c>
      <c r="I102" s="135">
        <f>IFERROR(VLOOKUP(C102,'02_TCT GUADAMUR'!$F$6:$R$36,13,FALSE),"")</f>
        <v>17</v>
      </c>
      <c r="J102" s="135">
        <f>IFERROR(VLOOKUP(C102,'02_TCT GUADAMUR'!$F$6:$T$36,15,FALSE),"")</f>
        <v>6</v>
      </c>
      <c r="K102" s="138">
        <f t="shared" ref="K102:K108" si="16">(I102+J102)</f>
        <v>23</v>
      </c>
      <c r="L102" s="135"/>
      <c r="M102" s="135"/>
      <c r="N102" s="138"/>
      <c r="O102" s="135"/>
      <c r="P102" s="135"/>
      <c r="Q102" s="138"/>
      <c r="R102" s="135"/>
      <c r="S102" s="135"/>
      <c r="T102" s="138"/>
      <c r="U102" s="135"/>
      <c r="V102" s="135"/>
      <c r="W102" s="138"/>
      <c r="X102" s="139">
        <f t="shared" ref="X102:X131" si="17">H102+K102+N102+Q102+T102+W102</f>
        <v>93</v>
      </c>
      <c r="Y102" s="140" t="str">
        <f>IF(Z102&gt;=3,"Sí","No")</f>
        <v>No</v>
      </c>
      <c r="Z102" s="141">
        <f>COUNTA(H102,K102,N102,Q102,T102,W102)</f>
        <v>2</v>
      </c>
      <c r="AA102" s="148"/>
      <c r="AB102" s="262" t="str">
        <f>IFERROR(VLOOKUP(C102,Tabla15[[Piloto2]:[Puntos clase5]],4, FALSE), " ")</f>
        <v>2RM</v>
      </c>
    </row>
    <row r="103" spans="2:35" ht="12.75" customHeight="1" x14ac:dyDescent="0.3">
      <c r="B103" s="133">
        <v>2</v>
      </c>
      <c r="C103" s="142" t="s">
        <v>577</v>
      </c>
      <c r="D103" s="481">
        <v>2</v>
      </c>
      <c r="E103" s="483" t="str">
        <f t="shared" si="14"/>
        <v>2</v>
      </c>
      <c r="F103" s="475">
        <f>IFERROR(VLOOKUP(C103,'01_RS ALCARRIA'!$F$6:$R$36,13,FALSE),"")</f>
        <v>20</v>
      </c>
      <c r="G103" s="135">
        <f>IFERROR(VLOOKUP(C103,'01_RS ALCARRIA'!$F$6:$T$36,15,FALSE),"")</f>
        <v>8</v>
      </c>
      <c r="H103" s="138">
        <f t="shared" si="15"/>
        <v>56</v>
      </c>
      <c r="I103" s="135">
        <f>IFERROR(VLOOKUP(C103,'02_TCT GUADAMUR'!$F$6:$R$36,13,FALSE),"")</f>
        <v>25</v>
      </c>
      <c r="J103" s="135">
        <f>IFERROR(VLOOKUP(C103,'02_TCT GUADAMUR'!$F$6:$T$36,15,FALSE),"")</f>
        <v>10</v>
      </c>
      <c r="K103" s="138">
        <f t="shared" si="16"/>
        <v>35</v>
      </c>
      <c r="L103" s="135"/>
      <c r="M103" s="135"/>
      <c r="N103" s="138"/>
      <c r="O103" s="135"/>
      <c r="P103" s="135"/>
      <c r="Q103" s="138"/>
      <c r="R103" s="135"/>
      <c r="S103" s="135"/>
      <c r="T103" s="138"/>
      <c r="U103" s="135"/>
      <c r="V103" s="135"/>
      <c r="W103" s="138"/>
      <c r="X103" s="139">
        <f t="shared" si="17"/>
        <v>91</v>
      </c>
      <c r="Y103" s="140" t="str">
        <f t="shared" ref="Y103:Y131" si="18">IF(Z103&gt;=3,"Sí","No")</f>
        <v>No</v>
      </c>
      <c r="Z103" s="141">
        <f t="shared" ref="Z103:Z131" si="19">COUNTA(H103,K103,N103,Q103,T103,W103)</f>
        <v>2</v>
      </c>
      <c r="AA103" s="148"/>
      <c r="AB103" s="262" t="str">
        <f>IFERROR(VLOOKUP(C103,Tabla15[[Piloto2]:[Puntos clase5]],4, FALSE), " ")</f>
        <v>2RM</v>
      </c>
    </row>
    <row r="104" spans="2:35" ht="12.75" customHeight="1" x14ac:dyDescent="0.3">
      <c r="B104" s="133">
        <v>3</v>
      </c>
      <c r="C104" s="142" t="s">
        <v>590</v>
      </c>
      <c r="D104" s="482">
        <v>3</v>
      </c>
      <c r="E104" s="483" t="str">
        <f t="shared" si="14"/>
        <v>2</v>
      </c>
      <c r="F104" s="135">
        <f>IFERROR(VLOOKUP(C104,'01_RS ALCARRIA'!$F$6:$R$36,13,FALSE),"")</f>
        <v>15</v>
      </c>
      <c r="G104" s="135">
        <f>IFERROR(VLOOKUP(C104,'01_RS ALCARRIA'!$F$6:$T$36,15,FALSE),"")</f>
        <v>10</v>
      </c>
      <c r="H104" s="138">
        <f t="shared" si="15"/>
        <v>50</v>
      </c>
      <c r="I104" s="135">
        <f>IFERROR(VLOOKUP(C104,'02_TCT GUADAMUR'!$F$6:$R$36,13,FALSE),"")</f>
        <v>12</v>
      </c>
      <c r="J104" s="135">
        <f>IFERROR(VLOOKUP(C104,'02_TCT GUADAMUR'!$F$6:$T$36,15,FALSE),"")</f>
        <v>10</v>
      </c>
      <c r="K104" s="138">
        <f t="shared" si="16"/>
        <v>22</v>
      </c>
      <c r="L104" s="135"/>
      <c r="M104" s="135"/>
      <c r="N104" s="138"/>
      <c r="O104" s="135"/>
      <c r="P104" s="135"/>
      <c r="Q104" s="138"/>
      <c r="R104" s="135"/>
      <c r="S104" s="135"/>
      <c r="T104" s="138"/>
      <c r="U104" s="135"/>
      <c r="V104" s="135"/>
      <c r="W104" s="138"/>
      <c r="X104" s="139">
        <f t="shared" si="17"/>
        <v>72</v>
      </c>
      <c r="Y104" s="140" t="str">
        <f t="shared" si="18"/>
        <v>No</v>
      </c>
      <c r="Z104" s="141">
        <f t="shared" si="19"/>
        <v>2</v>
      </c>
      <c r="AA104" s="148"/>
      <c r="AB104" s="262" t="str">
        <f>IFERROR(VLOOKUP(C104,Tabla15[[Piloto2]:[Puntos clase5]],4, FALSE), " ")</f>
        <v>2RM</v>
      </c>
    </row>
    <row r="105" spans="2:35" ht="12.75" customHeight="1" x14ac:dyDescent="0.3">
      <c r="B105" s="133">
        <v>4</v>
      </c>
      <c r="C105" s="134" t="s">
        <v>589</v>
      </c>
      <c r="D105" s="480">
        <v>1</v>
      </c>
      <c r="E105" s="482" t="str">
        <f t="shared" si="14"/>
        <v>4</v>
      </c>
      <c r="F105" s="135">
        <f>IFERROR(VLOOKUP(C105,'01_RS ALCARRIA'!$F$6:$R$36,13,FALSE),"")</f>
        <v>17</v>
      </c>
      <c r="G105" s="284">
        <f>IFERROR(VLOOKUP(C105,'01_RS ALCARRIA'!$F$6:$T$36,15,FALSE),"")/2</f>
        <v>5</v>
      </c>
      <c r="H105" s="138">
        <f t="shared" si="15"/>
        <v>44</v>
      </c>
      <c r="I105" s="135">
        <f>IFERROR(VLOOKUP(C105,'02_TCT GUADAMUR'!$F$6:$R$36,13,FALSE),"")</f>
        <v>15</v>
      </c>
      <c r="J105" s="135">
        <f>IFERROR(VLOOKUP(C105,'02_TCT GUADAMUR'!$F$6:$T$36,15,FALSE),"")</f>
        <v>10</v>
      </c>
      <c r="K105" s="138">
        <f t="shared" si="16"/>
        <v>25</v>
      </c>
      <c r="L105" s="135"/>
      <c r="M105" s="135"/>
      <c r="N105" s="138"/>
      <c r="O105" s="135"/>
      <c r="P105" s="135"/>
      <c r="Q105" s="138"/>
      <c r="R105" s="135"/>
      <c r="S105" s="135"/>
      <c r="T105" s="138"/>
      <c r="U105" s="135"/>
      <c r="V105" s="135"/>
      <c r="W105" s="138"/>
      <c r="X105" s="139">
        <f t="shared" si="17"/>
        <v>69</v>
      </c>
      <c r="Y105" s="140" t="str">
        <f t="shared" si="18"/>
        <v>No</v>
      </c>
      <c r="Z105" s="141">
        <f t="shared" si="19"/>
        <v>2</v>
      </c>
      <c r="AA105" s="148"/>
      <c r="AB105" s="262" t="str">
        <f>IFERROR(VLOOKUP(C105,Tabla15[[Piloto2]:[Puntos clase5]],4, FALSE), " ")</f>
        <v>4RM</v>
      </c>
    </row>
    <row r="106" spans="2:35" ht="12.75" customHeight="1" x14ac:dyDescent="0.3">
      <c r="B106" s="133">
        <v>5</v>
      </c>
      <c r="C106" s="142" t="s">
        <v>598</v>
      </c>
      <c r="D106" s="482">
        <v>5</v>
      </c>
      <c r="E106" s="482" t="str">
        <f t="shared" si="14"/>
        <v>2</v>
      </c>
      <c r="F106" s="135">
        <f>IFERROR(VLOOKUP(C106,'01_RS ALCARRIA'!$F$6:$R$36,13,FALSE),"")</f>
        <v>6</v>
      </c>
      <c r="G106" s="135">
        <f>IFERROR(VLOOKUP(C106,'01_RS ALCARRIA'!$F$6:$T$36,15,FALSE),"")</f>
        <v>10</v>
      </c>
      <c r="H106" s="138">
        <f t="shared" si="15"/>
        <v>32</v>
      </c>
      <c r="I106" s="135">
        <f>IFERROR(VLOOKUP(C106,'02_TCT GUADAMUR'!$F$6:$R$36,13,FALSE),"")</f>
        <v>10</v>
      </c>
      <c r="J106" s="135">
        <f>IFERROR(VLOOKUP(C106,'02_TCT GUADAMUR'!$F$6:$T$36,15,FALSE),"")</f>
        <v>10</v>
      </c>
      <c r="K106" s="138">
        <f t="shared" si="16"/>
        <v>20</v>
      </c>
      <c r="L106" s="135"/>
      <c r="M106" s="135"/>
      <c r="N106" s="138"/>
      <c r="O106" s="135"/>
      <c r="P106" s="135"/>
      <c r="Q106" s="138"/>
      <c r="R106" s="135"/>
      <c r="S106" s="135"/>
      <c r="T106" s="138"/>
      <c r="U106" s="135"/>
      <c r="V106" s="135"/>
      <c r="W106" s="138"/>
      <c r="X106" s="139">
        <f t="shared" si="17"/>
        <v>52</v>
      </c>
      <c r="Y106" s="140" t="str">
        <f t="shared" si="18"/>
        <v>No</v>
      </c>
      <c r="Z106" s="141">
        <f t="shared" si="19"/>
        <v>2</v>
      </c>
      <c r="AA106" s="148"/>
      <c r="AB106" s="262" t="str">
        <f>IFERROR(VLOOKUP(C106,Tabla15[[Piloto2]:[Puntos clase5]],4, FALSE), " ")</f>
        <v>2RM</v>
      </c>
    </row>
    <row r="107" spans="2:35" ht="12.75" customHeight="1" x14ac:dyDescent="0.3">
      <c r="B107" s="133">
        <v>6</v>
      </c>
      <c r="C107" s="142" t="s">
        <v>457</v>
      </c>
      <c r="D107" s="482">
        <v>3</v>
      </c>
      <c r="E107" s="482" t="str">
        <f t="shared" si="14"/>
        <v>2</v>
      </c>
      <c r="F107" s="135">
        <f>IFERROR(VLOOKUP(C107,'01_RS ALCARRIA'!$F$6:$R$36,13,FALSE),"")</f>
        <v>12</v>
      </c>
      <c r="G107" s="135">
        <f>IFERROR(VLOOKUP(C107,'01_RS ALCARRIA'!$F$6:$T$36,15,FALSE),"")</f>
        <v>8</v>
      </c>
      <c r="H107" s="138">
        <f t="shared" si="15"/>
        <v>40</v>
      </c>
      <c r="I107" s="135">
        <v>0</v>
      </c>
      <c r="J107" s="135">
        <v>0</v>
      </c>
      <c r="K107" s="138">
        <f t="shared" si="16"/>
        <v>0</v>
      </c>
      <c r="L107" s="135"/>
      <c r="M107" s="135"/>
      <c r="N107" s="138"/>
      <c r="O107" s="135"/>
      <c r="P107" s="135"/>
      <c r="Q107" s="138"/>
      <c r="R107" s="135"/>
      <c r="S107" s="135"/>
      <c r="T107" s="138"/>
      <c r="U107" s="135"/>
      <c r="V107" s="135"/>
      <c r="W107" s="138"/>
      <c r="X107" s="139">
        <f t="shared" si="17"/>
        <v>40</v>
      </c>
      <c r="Y107" s="140" t="str">
        <f t="shared" si="18"/>
        <v>No</v>
      </c>
      <c r="Z107" s="141">
        <f t="shared" si="19"/>
        <v>2</v>
      </c>
      <c r="AA107" s="148"/>
      <c r="AB107" s="262" t="str">
        <f>IFERROR(VLOOKUP(C107,Tabla15[[Piloto2]:[Puntos clase5]],4, FALSE), " ")</f>
        <v>2RM</v>
      </c>
    </row>
    <row r="108" spans="2:35" ht="12.75" customHeight="1" x14ac:dyDescent="0.3">
      <c r="B108" s="133">
        <v>7</v>
      </c>
      <c r="C108" s="142" t="s">
        <v>596</v>
      </c>
      <c r="D108" s="482">
        <v>3</v>
      </c>
      <c r="E108" s="482" t="str">
        <f t="shared" si="14"/>
        <v>2</v>
      </c>
      <c r="F108" s="135">
        <f>IFERROR(VLOOKUP(C108,'01_RS ALCARRIA'!$F$6:$R$36,13,FALSE),"")</f>
        <v>8</v>
      </c>
      <c r="G108" s="135">
        <f>IFERROR(VLOOKUP(C108,'01_RS ALCARRIA'!$F$6:$T$36,15,FALSE),"")</f>
        <v>5</v>
      </c>
      <c r="H108" s="138">
        <f t="shared" si="15"/>
        <v>26</v>
      </c>
      <c r="I108" s="135">
        <f>IFERROR(VLOOKUP(C108,'02_TCT GUADAMUR'!$F$6:$R$36,13,FALSE),"")</f>
        <v>4</v>
      </c>
      <c r="J108" s="135">
        <f>IFERROR(VLOOKUP(C108,'02_TCT GUADAMUR'!$F$6:$T$36,15,FALSE),"")</f>
        <v>6</v>
      </c>
      <c r="K108" s="138">
        <f t="shared" si="16"/>
        <v>10</v>
      </c>
      <c r="L108" s="135"/>
      <c r="M108" s="135"/>
      <c r="N108" s="138"/>
      <c r="O108" s="135"/>
      <c r="P108" s="135"/>
      <c r="Q108" s="138"/>
      <c r="R108" s="135"/>
      <c r="S108" s="135"/>
      <c r="T108" s="138"/>
      <c r="U108" s="135"/>
      <c r="V108" s="135"/>
      <c r="W108" s="138"/>
      <c r="X108" s="139">
        <f t="shared" si="17"/>
        <v>36</v>
      </c>
      <c r="Y108" s="140" t="str">
        <f t="shared" si="18"/>
        <v>No</v>
      </c>
      <c r="Z108" s="141">
        <f t="shared" si="19"/>
        <v>2</v>
      </c>
      <c r="AA108" s="148"/>
      <c r="AB108" s="262" t="str">
        <f>IFERROR(VLOOKUP(C108,Tabla15[[Piloto2]:[Puntos clase5]],4, FALSE), " ")</f>
        <v>2RM</v>
      </c>
    </row>
    <row r="109" spans="2:35" ht="12.75" customHeight="1" x14ac:dyDescent="0.3">
      <c r="B109" s="133">
        <v>8</v>
      </c>
      <c r="C109" s="142" t="s">
        <v>594</v>
      </c>
      <c r="D109" s="482">
        <v>3</v>
      </c>
      <c r="E109" s="482" t="str">
        <f t="shared" si="14"/>
        <v>2</v>
      </c>
      <c r="F109" s="135">
        <f>IFERROR(VLOOKUP(C109,'01_RS ALCARRIA'!$F$6:$R$36,13,FALSE),"")</f>
        <v>10</v>
      </c>
      <c r="G109" s="135">
        <f>IFERROR(VLOOKUP(C109,'01_RS ALCARRIA'!$F$6:$T$36,15,FALSE),"")</f>
        <v>6</v>
      </c>
      <c r="H109" s="138">
        <f t="shared" si="15"/>
        <v>32</v>
      </c>
      <c r="I109" s="135"/>
      <c r="J109" s="135"/>
      <c r="K109" s="138"/>
      <c r="L109" s="135"/>
      <c r="M109" s="135"/>
      <c r="N109" s="138"/>
      <c r="O109" s="135"/>
      <c r="P109" s="135"/>
      <c r="Q109" s="138"/>
      <c r="R109" s="135"/>
      <c r="S109" s="135"/>
      <c r="T109" s="138"/>
      <c r="U109" s="135"/>
      <c r="V109" s="135"/>
      <c r="W109" s="138"/>
      <c r="X109" s="139">
        <f t="shared" si="17"/>
        <v>32</v>
      </c>
      <c r="Y109" s="140" t="str">
        <f t="shared" si="18"/>
        <v>No</v>
      </c>
      <c r="Z109" s="141">
        <f t="shared" si="19"/>
        <v>1</v>
      </c>
      <c r="AA109" s="148"/>
      <c r="AB109" s="262" t="str">
        <f>IFERROR(VLOOKUP(C109,Tabla15[[Piloto2]:[Puntos clase5]],4, FALSE), " ")</f>
        <v>2RM</v>
      </c>
    </row>
    <row r="110" spans="2:35" ht="12.75" customHeight="1" x14ac:dyDescent="0.3">
      <c r="B110" s="133">
        <v>9</v>
      </c>
      <c r="C110" s="142" t="s">
        <v>669</v>
      </c>
      <c r="D110" s="482">
        <v>2</v>
      </c>
      <c r="E110" s="482">
        <v>2</v>
      </c>
      <c r="F110" s="135"/>
      <c r="G110" s="135"/>
      <c r="H110" s="138"/>
      <c r="I110" s="135">
        <f>IFERROR(VLOOKUP(C110,'02_TCT GUADAMUR'!$F$6:$R$36,13,FALSE),"")</f>
        <v>20</v>
      </c>
      <c r="J110" s="135">
        <f>IFERROR(VLOOKUP(C110,'02_TCT GUADAMUR'!$F$6:$T$36,15,FALSE),"")</f>
        <v>8</v>
      </c>
      <c r="K110" s="138">
        <f t="shared" ref="K110:K115" si="20">(I110+J110)</f>
        <v>28</v>
      </c>
      <c r="L110" s="135"/>
      <c r="M110" s="135"/>
      <c r="N110" s="138"/>
      <c r="O110" s="135"/>
      <c r="P110" s="135"/>
      <c r="Q110" s="138"/>
      <c r="R110" s="135"/>
      <c r="S110" s="135"/>
      <c r="T110" s="138"/>
      <c r="U110" s="135"/>
      <c r="V110" s="135"/>
      <c r="W110" s="138"/>
      <c r="X110" s="139">
        <f t="shared" si="17"/>
        <v>28</v>
      </c>
      <c r="Y110" s="140" t="str">
        <f t="shared" si="18"/>
        <v>No</v>
      </c>
      <c r="Z110" s="141">
        <f t="shared" si="19"/>
        <v>1</v>
      </c>
      <c r="AA110" s="148"/>
      <c r="AB110" s="262" t="str">
        <f>IFERROR(VLOOKUP(C110,Tabla15[[Piloto2]:[Puntos clase5]],4, FALSE), " ")</f>
        <v xml:space="preserve"> </v>
      </c>
    </row>
    <row r="111" spans="2:35" ht="12.75" customHeight="1" x14ac:dyDescent="0.3">
      <c r="B111" s="133">
        <v>10</v>
      </c>
      <c r="C111" s="134" t="s">
        <v>625</v>
      </c>
      <c r="D111" s="482">
        <v>4</v>
      </c>
      <c r="E111" s="482" t="str">
        <f>LEFT(AB111,LEN(AB111)-2)</f>
        <v>2</v>
      </c>
      <c r="F111" s="135">
        <f>IFERROR(VLOOKUP(C111,'01_RS ALCARRIA'!$F$6:$R$36,13,FALSE),"")</f>
        <v>0</v>
      </c>
      <c r="G111" s="284">
        <f>IFERROR(VLOOKUP(C111,'01_RS ALCARRIA'!$F$6:$T$36,15,FALSE),"")/2</f>
        <v>5</v>
      </c>
      <c r="H111" s="138">
        <f>(F111+G111)*2</f>
        <v>10</v>
      </c>
      <c r="I111" s="135">
        <f>IFERROR(VLOOKUP(C111,'02_TCT GUADAMUR'!$F$6:$R$36,13,FALSE),"")</f>
        <v>2</v>
      </c>
      <c r="J111" s="135">
        <f>IFERROR(VLOOKUP(C111,'02_TCT GUADAMUR'!$F$6:$T$36,15,FALSE),"")</f>
        <v>8</v>
      </c>
      <c r="K111" s="138">
        <f t="shared" si="20"/>
        <v>10</v>
      </c>
      <c r="L111" s="135"/>
      <c r="M111" s="135"/>
      <c r="N111" s="138"/>
      <c r="O111" s="135"/>
      <c r="P111" s="135"/>
      <c r="Q111" s="138"/>
      <c r="R111" s="135"/>
      <c r="S111" s="135"/>
      <c r="T111" s="138"/>
      <c r="U111" s="135"/>
      <c r="V111" s="135"/>
      <c r="W111" s="138"/>
      <c r="X111" s="139">
        <f t="shared" si="17"/>
        <v>20</v>
      </c>
      <c r="Y111" s="140" t="str">
        <f t="shared" si="18"/>
        <v>No</v>
      </c>
      <c r="Z111" s="141">
        <f t="shared" si="19"/>
        <v>2</v>
      </c>
      <c r="AA111" s="148"/>
      <c r="AB111" s="262" t="str">
        <f>IFERROR(VLOOKUP(C111,Tabla15[[Piloto2]:[Puntos clase5]],4, FALSE), " ")</f>
        <v>2RM</v>
      </c>
    </row>
    <row r="112" spans="2:35" ht="12.75" customHeight="1" x14ac:dyDescent="0.3">
      <c r="B112" s="133">
        <v>11</v>
      </c>
      <c r="C112" s="142" t="s">
        <v>670</v>
      </c>
      <c r="D112" s="482">
        <v>4</v>
      </c>
      <c r="E112" s="482">
        <v>2</v>
      </c>
      <c r="F112" s="135"/>
      <c r="G112" s="135"/>
      <c r="H112" s="138"/>
      <c r="I112" s="135">
        <f>IFERROR(VLOOKUP(C112,'02_TCT GUADAMUR'!$F$6:$R$36,13,FALSE),"")</f>
        <v>8</v>
      </c>
      <c r="J112" s="135">
        <f>IFERROR(VLOOKUP(C112,'02_TCT GUADAMUR'!$F$6:$T$36,15,FALSE),"")</f>
        <v>10</v>
      </c>
      <c r="K112" s="138">
        <f t="shared" si="20"/>
        <v>18</v>
      </c>
      <c r="L112" s="135"/>
      <c r="M112" s="135"/>
      <c r="N112" s="138"/>
      <c r="O112" s="135"/>
      <c r="P112" s="135"/>
      <c r="Q112" s="138"/>
      <c r="R112" s="135"/>
      <c r="S112" s="135"/>
      <c r="T112" s="138"/>
      <c r="U112" s="135"/>
      <c r="V112" s="135"/>
      <c r="W112" s="138"/>
      <c r="X112" s="139">
        <f t="shared" si="17"/>
        <v>18</v>
      </c>
      <c r="Y112" s="140" t="str">
        <f t="shared" si="18"/>
        <v>No</v>
      </c>
      <c r="Z112" s="141">
        <f t="shared" si="19"/>
        <v>1</v>
      </c>
      <c r="AA112" s="148"/>
      <c r="AB112" s="262" t="str">
        <f>IFERROR(VLOOKUP(C112,Tabla15[[Piloto2]:[Puntos clase5]],4, FALSE), " ")</f>
        <v xml:space="preserve"> </v>
      </c>
      <c r="AC112" s="232" t="s">
        <v>271</v>
      </c>
      <c r="AD112" s="229"/>
      <c r="AE112" s="229"/>
      <c r="AF112" s="229"/>
      <c r="AG112" s="229"/>
      <c r="AH112" s="229"/>
      <c r="AI112" s="230"/>
    </row>
    <row r="113" spans="2:39" ht="12.75" customHeight="1" x14ac:dyDescent="0.3">
      <c r="B113" s="133">
        <v>12</v>
      </c>
      <c r="C113" s="142" t="s">
        <v>605</v>
      </c>
      <c r="D113" s="482">
        <v>3</v>
      </c>
      <c r="E113" s="482" t="str">
        <f>LEFT(AB113,LEN(AB113)-2)</f>
        <v>2</v>
      </c>
      <c r="F113" s="135">
        <f>IFERROR(VLOOKUP(C113,'01_RS ALCARRIA'!$F$6:$R$36,13,FALSE),"")</f>
        <v>5</v>
      </c>
      <c r="G113" s="135">
        <f>IFERROR(VLOOKUP(C113,'01_RS ALCARRIA'!$F$6:$T$36,15,FALSE),"")</f>
        <v>3</v>
      </c>
      <c r="H113" s="138">
        <f>(F113+G113)*2</f>
        <v>16</v>
      </c>
      <c r="I113" s="135">
        <f>IFERROR(VLOOKUP(C113,'02_TCT GUADAMUR'!$F$6:$R$36,13,FALSE),"")</f>
        <v>0</v>
      </c>
      <c r="J113" s="135">
        <f>IFERROR(VLOOKUP(C113,'02_TCT GUADAMUR'!$F$6:$T$36,15,FALSE),"")</f>
        <v>1</v>
      </c>
      <c r="K113" s="138">
        <f t="shared" si="20"/>
        <v>1</v>
      </c>
      <c r="L113" s="135"/>
      <c r="M113" s="135"/>
      <c r="N113" s="138"/>
      <c r="O113" s="135"/>
      <c r="P113" s="135"/>
      <c r="Q113" s="138"/>
      <c r="R113" s="135"/>
      <c r="S113" s="135"/>
      <c r="T113" s="138"/>
      <c r="U113" s="135"/>
      <c r="V113" s="135"/>
      <c r="W113" s="138"/>
      <c r="X113" s="139">
        <f t="shared" si="17"/>
        <v>17</v>
      </c>
      <c r="Y113" s="140" t="str">
        <f t="shared" si="18"/>
        <v>No</v>
      </c>
      <c r="Z113" s="141">
        <f t="shared" si="19"/>
        <v>2</v>
      </c>
      <c r="AA113" s="148"/>
      <c r="AB113" s="262" t="str">
        <f>IFERROR(VLOOKUP(C113,Tabla15[[Piloto2]:[Puntos clase5]],4, FALSE), " ")</f>
        <v>2RM</v>
      </c>
      <c r="AC113" s="8" t="s">
        <v>272</v>
      </c>
      <c r="AD113" s="8">
        <v>1</v>
      </c>
      <c r="AE113" s="8">
        <v>2</v>
      </c>
      <c r="AF113" s="8">
        <v>3</v>
      </c>
      <c r="AG113" s="8">
        <v>4</v>
      </c>
      <c r="AH113" s="8">
        <v>5</v>
      </c>
      <c r="AI113" s="8" t="s">
        <v>9</v>
      </c>
    </row>
    <row r="114" spans="2:39" ht="12.75" customHeight="1" x14ac:dyDescent="0.3">
      <c r="B114" s="133">
        <v>13</v>
      </c>
      <c r="C114" s="142" t="s">
        <v>672</v>
      </c>
      <c r="D114" s="482">
        <v>3</v>
      </c>
      <c r="E114" s="482">
        <v>2</v>
      </c>
      <c r="F114" s="135"/>
      <c r="G114" s="135"/>
      <c r="H114" s="138"/>
      <c r="I114" s="135">
        <f>IFERROR(VLOOKUP(C114,'02_TCT GUADAMUR'!$F$6:$R$36,13,FALSE),"")</f>
        <v>6</v>
      </c>
      <c r="J114" s="135">
        <f>IFERROR(VLOOKUP(C114,'02_TCT GUADAMUR'!$F$6:$T$36,15,FALSE),"")</f>
        <v>8</v>
      </c>
      <c r="K114" s="138">
        <f t="shared" si="20"/>
        <v>14</v>
      </c>
      <c r="L114" s="135"/>
      <c r="M114" s="135"/>
      <c r="N114" s="138"/>
      <c r="O114" s="135"/>
      <c r="P114" s="135"/>
      <c r="Q114" s="138"/>
      <c r="R114" s="135"/>
      <c r="S114" s="135"/>
      <c r="T114" s="138"/>
      <c r="U114" s="135"/>
      <c r="V114" s="135"/>
      <c r="W114" s="138"/>
      <c r="X114" s="139">
        <f t="shared" si="17"/>
        <v>14</v>
      </c>
      <c r="Y114" s="140" t="str">
        <f t="shared" si="18"/>
        <v>No</v>
      </c>
      <c r="Z114" s="141">
        <f t="shared" si="19"/>
        <v>1</v>
      </c>
      <c r="AA114" s="148"/>
      <c r="AB114" s="262" t="str">
        <f>IFERROR(VLOOKUP(C114,Tabla15[[Piloto2]:[Puntos clase5]],4, FALSE), " ")</f>
        <v xml:space="preserve"> </v>
      </c>
      <c r="AC114" s="8">
        <f>COUNTA(C6:C25)</f>
        <v>20</v>
      </c>
      <c r="AD114" s="8">
        <f>COUNTIF($D$6:$D$25,AD113)</f>
        <v>2</v>
      </c>
      <c r="AE114" s="8">
        <f>COUNTIF($D$6:$D$25,AE113)</f>
        <v>4</v>
      </c>
      <c r="AF114" s="8">
        <f>COUNTIF($D$6:$D$25,AF113)</f>
        <v>7</v>
      </c>
      <c r="AG114" s="8">
        <f>COUNTIF($D$6:$D$25,AG113)</f>
        <v>4</v>
      </c>
      <c r="AH114" s="8">
        <f>COUNTIF($D$6:$D$25,AH113)</f>
        <v>3</v>
      </c>
      <c r="AI114" s="231">
        <f>SUM(AD114:AH114)</f>
        <v>20</v>
      </c>
    </row>
    <row r="115" spans="2:39" ht="12.75" customHeight="1" x14ac:dyDescent="0.3">
      <c r="B115" s="133">
        <v>14</v>
      </c>
      <c r="C115" s="142" t="s">
        <v>627</v>
      </c>
      <c r="D115" s="482">
        <v>5</v>
      </c>
      <c r="E115" s="482" t="str">
        <f>LEFT(AB115,LEN(AB115)-2)</f>
        <v>4</v>
      </c>
      <c r="F115" s="135">
        <v>0</v>
      </c>
      <c r="G115" s="135">
        <v>0</v>
      </c>
      <c r="H115" s="138">
        <f>(F115+G115)</f>
        <v>0</v>
      </c>
      <c r="I115" s="135">
        <f>IFERROR(VLOOKUP(C115,'02_TCT GUADAMUR'!$F$6:$R$36,13,FALSE),"")</f>
        <v>5</v>
      </c>
      <c r="J115" s="135">
        <f>IFERROR(VLOOKUP(C115,'02_TCT GUADAMUR'!$F$6:$T$36,15,FALSE),"")</f>
        <v>8</v>
      </c>
      <c r="K115" s="138">
        <f t="shared" si="20"/>
        <v>13</v>
      </c>
      <c r="L115" s="135"/>
      <c r="M115" s="135"/>
      <c r="N115" s="138"/>
      <c r="O115" s="135"/>
      <c r="P115" s="135"/>
      <c r="Q115" s="138"/>
      <c r="R115" s="135"/>
      <c r="S115" s="135"/>
      <c r="T115" s="138"/>
      <c r="U115" s="135"/>
      <c r="V115" s="135"/>
      <c r="W115" s="138"/>
      <c r="X115" s="139">
        <f t="shared" si="17"/>
        <v>13</v>
      </c>
      <c r="Y115" s="140" t="str">
        <f t="shared" si="18"/>
        <v>No</v>
      </c>
      <c r="Z115" s="141">
        <f t="shared" si="19"/>
        <v>2</v>
      </c>
      <c r="AA115" s="148"/>
      <c r="AB115" s="262" t="str">
        <f>IFERROR(VLOOKUP(C115,Tabla15[[Piloto2]:[Puntos clase5]],4, FALSE), " ")</f>
        <v>4RM</v>
      </c>
    </row>
    <row r="116" spans="2:39" ht="12.75" customHeight="1" x14ac:dyDescent="0.3">
      <c r="B116" s="133">
        <v>15</v>
      </c>
      <c r="C116" s="142" t="s">
        <v>212</v>
      </c>
      <c r="D116" s="482">
        <v>3</v>
      </c>
      <c r="E116" s="482" t="str">
        <f>LEFT(AB116,LEN(AB116)-2)</f>
        <v>2</v>
      </c>
      <c r="F116" s="135">
        <f>IFERROR(VLOOKUP(C116,'01_RS ALCARRIA'!$F$6:$R$36,13,FALSE),"")</f>
        <v>4</v>
      </c>
      <c r="G116" s="135">
        <f>IFERROR(VLOOKUP(C116,'01_RS ALCARRIA'!$F$6:$T$36,15,FALSE),"")</f>
        <v>1</v>
      </c>
      <c r="H116" s="138">
        <f>(F116+G116)*2</f>
        <v>10</v>
      </c>
      <c r="I116" s="135" t="str">
        <f>IFERROR(VLOOKUP(C116,'02_TCT GUADAMUR'!$F$6:$R$36,13,FALSE),"")</f>
        <v/>
      </c>
      <c r="J116" s="135" t="str">
        <f>IFERROR(VLOOKUP(C116,'02_TCT GUADAMUR'!$F$6:$T$36,15,FALSE),"")</f>
        <v/>
      </c>
      <c r="K116" s="138"/>
      <c r="L116" s="135"/>
      <c r="M116" s="135"/>
      <c r="N116" s="138"/>
      <c r="O116" s="135"/>
      <c r="P116" s="135"/>
      <c r="Q116" s="138"/>
      <c r="R116" s="135"/>
      <c r="S116" s="135"/>
      <c r="T116" s="138"/>
      <c r="U116" s="135"/>
      <c r="V116" s="135"/>
      <c r="W116" s="138"/>
      <c r="X116" s="139">
        <f t="shared" si="17"/>
        <v>10</v>
      </c>
      <c r="Y116" s="140" t="str">
        <f t="shared" si="18"/>
        <v>No</v>
      </c>
      <c r="Z116" s="141">
        <f t="shared" si="19"/>
        <v>1</v>
      </c>
      <c r="AA116" s="7"/>
      <c r="AB116" s="262" t="str">
        <f>IFERROR(VLOOKUP(C116,Tabla15[[Piloto2]:[Puntos clase5]],4, FALSE), " ")</f>
        <v>2RM</v>
      </c>
      <c r="AC116" s="6"/>
    </row>
    <row r="117" spans="2:39" ht="12.75" customHeight="1" x14ac:dyDescent="0.3">
      <c r="B117" s="133">
        <v>16</v>
      </c>
      <c r="C117" s="142" t="s">
        <v>611</v>
      </c>
      <c r="D117" s="482">
        <v>3</v>
      </c>
      <c r="E117" s="482" t="str">
        <f>LEFT(AB117,LEN(AB117)-2)</f>
        <v>2</v>
      </c>
      <c r="F117" s="135">
        <f>IFERROR(VLOOKUP(C117,'01_RS ALCARRIA'!$F$6:$R$36,13,FALSE),"")</f>
        <v>2</v>
      </c>
      <c r="G117" s="135">
        <f>IFERROR(VLOOKUP(C117,'01_RS ALCARRIA'!$F$6:$T$36,15,FALSE),"")</f>
        <v>0</v>
      </c>
      <c r="H117" s="138">
        <f>(F117+G117)*2</f>
        <v>4</v>
      </c>
      <c r="I117" s="135">
        <f>IFERROR(VLOOKUP(C117,'02_TCT GUADAMUR'!$F$6:$R$36,13,FALSE),"")</f>
        <v>1</v>
      </c>
      <c r="J117" s="135">
        <f>IFERROR(VLOOKUP(C117,'02_TCT GUADAMUR'!$F$6:$T$36,15,FALSE),"")</f>
        <v>3</v>
      </c>
      <c r="K117" s="138">
        <f t="shared" ref="K117:K122" si="21">(I117+J117)</f>
        <v>4</v>
      </c>
      <c r="L117" s="135"/>
      <c r="M117" s="135"/>
      <c r="N117" s="138"/>
      <c r="O117" s="135"/>
      <c r="P117" s="135"/>
      <c r="Q117" s="138"/>
      <c r="R117" s="135"/>
      <c r="S117" s="135"/>
      <c r="T117" s="138"/>
      <c r="U117" s="135"/>
      <c r="V117" s="135"/>
      <c r="W117" s="138"/>
      <c r="X117" s="139">
        <f t="shared" si="17"/>
        <v>8</v>
      </c>
      <c r="Y117" s="140" t="str">
        <f t="shared" si="18"/>
        <v>No</v>
      </c>
      <c r="Z117" s="141">
        <f t="shared" si="19"/>
        <v>2</v>
      </c>
      <c r="AB117" s="262" t="str">
        <f>IFERROR(VLOOKUP(C117,Tabla15[[Piloto2]:[Puntos clase5]],4, FALSE), " ")</f>
        <v>2RM</v>
      </c>
      <c r="AC117" s="2"/>
    </row>
    <row r="118" spans="2:39" ht="12.75" customHeight="1" x14ac:dyDescent="0.3">
      <c r="B118" s="133">
        <v>16</v>
      </c>
      <c r="C118" s="142" t="s">
        <v>673</v>
      </c>
      <c r="D118" s="482">
        <v>3</v>
      </c>
      <c r="E118" s="482">
        <v>2</v>
      </c>
      <c r="F118" s="135"/>
      <c r="G118" s="135"/>
      <c r="H118" s="138"/>
      <c r="I118" s="135">
        <f>IFERROR(VLOOKUP(C118,'02_TCT GUADAMUR'!$F$6:$R$36,13,FALSE),"")</f>
        <v>3</v>
      </c>
      <c r="J118" s="135">
        <f>IFERROR(VLOOKUP(C118,'02_TCT GUADAMUR'!$F$6:$T$36,15,FALSE),"")</f>
        <v>5</v>
      </c>
      <c r="K118" s="138">
        <f t="shared" si="21"/>
        <v>8</v>
      </c>
      <c r="L118" s="135"/>
      <c r="M118" s="135"/>
      <c r="N118" s="138"/>
      <c r="O118" s="135"/>
      <c r="P118" s="135"/>
      <c r="Q118" s="138"/>
      <c r="R118" s="135"/>
      <c r="S118" s="135"/>
      <c r="T118" s="138"/>
      <c r="U118" s="135"/>
      <c r="V118" s="135"/>
      <c r="W118" s="138"/>
      <c r="X118" s="139">
        <f t="shared" si="17"/>
        <v>8</v>
      </c>
      <c r="Y118" s="140" t="str">
        <f t="shared" si="18"/>
        <v>No</v>
      </c>
      <c r="Z118" s="141">
        <f t="shared" si="19"/>
        <v>1</v>
      </c>
      <c r="AA118" s="121"/>
      <c r="AB118" s="262" t="str">
        <f>IFERROR(VLOOKUP(C118,Tabla15[[Piloto2]:[Puntos clase5]],4, FALSE), " ")</f>
        <v xml:space="preserve"> </v>
      </c>
      <c r="AC118" s="8" t="s">
        <v>8</v>
      </c>
      <c r="AD118" s="8">
        <v>1</v>
      </c>
      <c r="AE118" s="8">
        <v>2</v>
      </c>
      <c r="AF118" s="8">
        <v>3</v>
      </c>
      <c r="AG118" s="8">
        <v>4</v>
      </c>
      <c r="AH118" s="8">
        <v>5</v>
      </c>
      <c r="AI118" s="8"/>
      <c r="AJ118" s="8"/>
      <c r="AK118" s="8"/>
      <c r="AL118" s="8"/>
      <c r="AM118" s="8" t="s">
        <v>9</v>
      </c>
    </row>
    <row r="119" spans="2:39" ht="12.75" customHeight="1" x14ac:dyDescent="0.3">
      <c r="B119" s="133">
        <v>18</v>
      </c>
      <c r="C119" s="142" t="s">
        <v>608</v>
      </c>
      <c r="D119" s="482">
        <v>3</v>
      </c>
      <c r="E119" s="482" t="str">
        <f>LEFT(AB119,LEN(AB119)-2)</f>
        <v>2</v>
      </c>
      <c r="F119" s="135">
        <f>IFERROR(VLOOKUP(C119,'01_RS ALCARRIA'!$F$6:$R$36,13,FALSE),"")</f>
        <v>3</v>
      </c>
      <c r="G119" s="135">
        <f>IFERROR(VLOOKUP(C119,'01_RS ALCARRIA'!$F$6:$T$36,15,FALSE),"")</f>
        <v>0</v>
      </c>
      <c r="H119" s="138">
        <f>(F119+G119)*2</f>
        <v>6</v>
      </c>
      <c r="I119" s="135">
        <f>IFERROR(VLOOKUP(C119,'02_TCT GUADAMUR'!$F$6:$R$36,13,FALSE),"")</f>
        <v>0</v>
      </c>
      <c r="J119" s="135">
        <f>IFERROR(VLOOKUP(C119,'02_TCT GUADAMUR'!$F$6:$T$36,15,FALSE),"")</f>
        <v>0</v>
      </c>
      <c r="K119" s="138">
        <f t="shared" si="21"/>
        <v>0</v>
      </c>
      <c r="L119" s="135"/>
      <c r="M119" s="135"/>
      <c r="N119" s="138"/>
      <c r="O119" s="135"/>
      <c r="P119" s="135"/>
      <c r="Q119" s="138"/>
      <c r="R119" s="135"/>
      <c r="S119" s="135"/>
      <c r="T119" s="138"/>
      <c r="U119" s="135"/>
      <c r="V119" s="135"/>
      <c r="W119" s="138"/>
      <c r="X119" s="139">
        <f t="shared" si="17"/>
        <v>6</v>
      </c>
      <c r="Y119" s="140" t="str">
        <f t="shared" si="18"/>
        <v>No</v>
      </c>
      <c r="Z119" s="141">
        <f t="shared" si="19"/>
        <v>2</v>
      </c>
      <c r="AA119" s="5"/>
      <c r="AB119" s="262" t="str">
        <f>IFERROR(VLOOKUP(C119,Tabla15[[Piloto2]:[Puntos clase5]],4, FALSE), " ")</f>
        <v>2RM</v>
      </c>
      <c r="AC119" s="8">
        <f>COUNTA(C6:C25)+COUNTA(Z217:Z219)+COUNTA(Z242:Z243)+COUNTA(Z271:Z272)</f>
        <v>27</v>
      </c>
      <c r="AD119" s="8">
        <f>COUNTIF($Z$6:$Z$25,AD118)+COUNTIF($Z$217:$Z$219,AD118)+COUNTIF($Z$242:$Z$243,AD118)+COUNTIF($Z$271:$Z$272,AD118)</f>
        <v>9</v>
      </c>
      <c r="AE119" s="8">
        <f>COUNTIF($Z$6:$Z$25,AE118)+COUNTIF($Z$217:$Z$219,AE118)+COUNTIF($Z$242:$Z$243,AE118)+COUNTIF($Z$271:$Z$272,AE118)</f>
        <v>18</v>
      </c>
      <c r="AF119" s="8">
        <f>COUNTIF($Z$6:$Z$25,AF118)+COUNTIF($Z$217:$Z$219,AF118)+COUNTIF($Z$242:$Z$243,AF118)+COUNTIF($Z$271:$Z$272,AF118)</f>
        <v>0</v>
      </c>
      <c r="AG119" s="8">
        <f>COUNTIF($Z$6:$Z$25,AG118)+COUNTIF($Z$217:$Z$219,AG118)+COUNTIF($Z$242:$Z$243,AG118)+COUNTIF($Z$271:$Z$272,AG118)</f>
        <v>0</v>
      </c>
      <c r="AH119" s="8">
        <f>COUNTIF($Z$6:$Z$25,AH118)+COUNTIF($Z$217:$Z$219,AH118)+COUNTIF($Z$242:$Z$243,AH118)+COUNTIF($Z$271:$Z$272,AH118)</f>
        <v>0</v>
      </c>
      <c r="AI119" s="8"/>
      <c r="AJ119" s="8"/>
      <c r="AK119" s="8"/>
      <c r="AL119" s="9"/>
      <c r="AM119" s="8">
        <f>SUM(AD119:AJ119)</f>
        <v>27</v>
      </c>
    </row>
    <row r="120" spans="2:39" ht="12.75" customHeight="1" x14ac:dyDescent="0.3">
      <c r="B120" s="133">
        <v>18</v>
      </c>
      <c r="C120" s="142" t="s">
        <v>631</v>
      </c>
      <c r="D120" s="482">
        <v>5</v>
      </c>
      <c r="E120" s="482" t="str">
        <f>LEFT(AB120,LEN(AB120)-2)</f>
        <v>2</v>
      </c>
      <c r="F120" s="135">
        <v>0</v>
      </c>
      <c r="G120" s="135">
        <v>0</v>
      </c>
      <c r="H120" s="138">
        <f>(F120+G120)</f>
        <v>0</v>
      </c>
      <c r="I120" s="135">
        <f>IFERROR(VLOOKUP(C120,'02_TCT GUADAMUR'!$F$6:$R$36,13,FALSE),"")</f>
        <v>0</v>
      </c>
      <c r="J120" s="135">
        <f>IFERROR(VLOOKUP(C120,'02_TCT GUADAMUR'!$F$6:$T$36,15,FALSE),"")</f>
        <v>6</v>
      </c>
      <c r="K120" s="138">
        <f t="shared" si="21"/>
        <v>6</v>
      </c>
      <c r="L120" s="135"/>
      <c r="M120" s="135"/>
      <c r="N120" s="138"/>
      <c r="O120" s="135"/>
      <c r="P120" s="135"/>
      <c r="Q120" s="138"/>
      <c r="R120" s="135"/>
      <c r="S120" s="135"/>
      <c r="T120" s="138"/>
      <c r="U120" s="135"/>
      <c r="V120" s="135"/>
      <c r="W120" s="138"/>
      <c r="X120" s="139">
        <f t="shared" si="17"/>
        <v>6</v>
      </c>
      <c r="Y120" s="140" t="str">
        <f t="shared" si="18"/>
        <v>No</v>
      </c>
      <c r="Z120" s="141">
        <f t="shared" si="19"/>
        <v>2</v>
      </c>
      <c r="AA120" s="5"/>
      <c r="AB120" s="262" t="str">
        <f>IFERROR(VLOOKUP(C120,Tabla15[[Piloto2]:[Puntos clase5]],4, FALSE), " ")</f>
        <v>2RM</v>
      </c>
      <c r="AC120" s="31"/>
      <c r="AD120" s="32"/>
      <c r="AE120" s="32"/>
      <c r="AF120" s="32"/>
      <c r="AG120" s="32"/>
      <c r="AH120" s="32"/>
      <c r="AI120" s="32"/>
      <c r="AJ120" s="528" t="s">
        <v>32</v>
      </c>
      <c r="AK120" s="529"/>
      <c r="AL120" s="530"/>
      <c r="AM120" s="33" t="e">
        <f>#REF!/AM119</f>
        <v>#REF!</v>
      </c>
    </row>
    <row r="121" spans="2:39" ht="12.75" customHeight="1" x14ac:dyDescent="0.3">
      <c r="B121" s="133">
        <v>18</v>
      </c>
      <c r="C121" s="142" t="s">
        <v>677</v>
      </c>
      <c r="D121" s="482">
        <v>4</v>
      </c>
      <c r="E121" s="482">
        <v>2</v>
      </c>
      <c r="F121" s="135"/>
      <c r="G121" s="135"/>
      <c r="H121" s="138"/>
      <c r="I121" s="135">
        <f>IFERROR(VLOOKUP(C121,'02_TCT GUADAMUR'!$F$6:$R$36,13,FALSE),"")</f>
        <v>0</v>
      </c>
      <c r="J121" s="135">
        <f>IFERROR(VLOOKUP(C121,'02_TCT GUADAMUR'!$F$6:$T$36,15,FALSE),"")</f>
        <v>6</v>
      </c>
      <c r="K121" s="138">
        <f t="shared" si="21"/>
        <v>6</v>
      </c>
      <c r="L121" s="135"/>
      <c r="M121" s="135"/>
      <c r="N121" s="138"/>
      <c r="O121" s="135"/>
      <c r="P121" s="135"/>
      <c r="Q121" s="138"/>
      <c r="R121" s="135"/>
      <c r="S121" s="135"/>
      <c r="T121" s="138"/>
      <c r="U121" s="135"/>
      <c r="V121" s="135"/>
      <c r="W121" s="138"/>
      <c r="X121" s="139">
        <f t="shared" si="17"/>
        <v>6</v>
      </c>
      <c r="Y121" s="140" t="str">
        <f t="shared" si="18"/>
        <v>No</v>
      </c>
      <c r="Z121" s="141">
        <f t="shared" si="19"/>
        <v>1</v>
      </c>
      <c r="AA121" s="148"/>
      <c r="AB121" s="262" t="str">
        <f>IFERROR(VLOOKUP(C121,Tabla15[[Piloto2]:[Puntos clase5]],4, FALSE), " ")</f>
        <v xml:space="preserve"> </v>
      </c>
    </row>
    <row r="122" spans="2:39" ht="12.75" customHeight="1" x14ac:dyDescent="0.3">
      <c r="B122" s="133">
        <v>21</v>
      </c>
      <c r="C122" s="134" t="s">
        <v>638</v>
      </c>
      <c r="D122" s="482" t="s">
        <v>359</v>
      </c>
      <c r="E122" s="482" t="str">
        <f>LEFT(AB122,LEN(AB122)-2)</f>
        <v>2</v>
      </c>
      <c r="F122" s="135">
        <v>0</v>
      </c>
      <c r="G122" s="135">
        <v>0</v>
      </c>
      <c r="H122" s="138">
        <f>(F122+G122)</f>
        <v>0</v>
      </c>
      <c r="I122" s="135">
        <f>IFERROR(VLOOKUP(C122,'02_TCT GUADAMUR'!$F$6:$R$36,13,FALSE),"")</f>
        <v>0</v>
      </c>
      <c r="J122" s="135">
        <f>IFERROR(VLOOKUP(C122,'02_TCT GUADAMUR'!$F$6:$T$36,15,FALSE),"")</f>
        <v>5</v>
      </c>
      <c r="K122" s="138">
        <f t="shared" si="21"/>
        <v>5</v>
      </c>
      <c r="L122" s="135"/>
      <c r="M122" s="135"/>
      <c r="N122" s="138"/>
      <c r="O122" s="135"/>
      <c r="P122" s="135"/>
      <c r="Q122" s="138"/>
      <c r="R122" s="135"/>
      <c r="S122" s="135"/>
      <c r="T122" s="138"/>
      <c r="U122" s="135"/>
      <c r="V122" s="135"/>
      <c r="W122" s="138"/>
      <c r="X122" s="139">
        <f t="shared" si="17"/>
        <v>5</v>
      </c>
      <c r="Y122" s="140" t="str">
        <f t="shared" si="18"/>
        <v>No</v>
      </c>
      <c r="Z122" s="141">
        <f t="shared" si="19"/>
        <v>2</v>
      </c>
      <c r="AA122" s="148"/>
      <c r="AB122" s="262" t="str">
        <f>IFERROR(VLOOKUP(C122,Tabla15[[Piloto2]:[Puntos clase5]],4, FALSE), " ")</f>
        <v>2RM</v>
      </c>
    </row>
    <row r="123" spans="2:39" ht="12.75" customHeight="1" x14ac:dyDescent="0.3">
      <c r="B123" s="133">
        <v>22</v>
      </c>
      <c r="C123" s="142" t="s">
        <v>613</v>
      </c>
      <c r="D123" s="482">
        <v>3</v>
      </c>
      <c r="E123" s="482" t="str">
        <f>LEFT(AB123,LEN(AB123)-2)</f>
        <v>2</v>
      </c>
      <c r="F123" s="135">
        <f>IFERROR(VLOOKUP(C123,'01_RS ALCARRIA'!$F$6:$R$36,13,FALSE),"")</f>
        <v>1</v>
      </c>
      <c r="G123" s="135">
        <f>IFERROR(VLOOKUP(C123,'01_RS ALCARRIA'!$F$6:$T$36,15,FALSE),"")</f>
        <v>0</v>
      </c>
      <c r="H123" s="138">
        <f>(F123+G123)*2</f>
        <v>2</v>
      </c>
      <c r="I123" s="135"/>
      <c r="J123" s="135"/>
      <c r="K123" s="138"/>
      <c r="L123" s="135"/>
      <c r="M123" s="135"/>
      <c r="N123" s="138"/>
      <c r="O123" s="135"/>
      <c r="P123" s="135"/>
      <c r="Q123" s="138"/>
      <c r="R123" s="135"/>
      <c r="S123" s="135"/>
      <c r="T123" s="138"/>
      <c r="U123" s="135"/>
      <c r="V123" s="135"/>
      <c r="W123" s="138"/>
      <c r="X123" s="139">
        <f t="shared" si="17"/>
        <v>2</v>
      </c>
      <c r="Y123" s="140" t="str">
        <f t="shared" si="18"/>
        <v>No</v>
      </c>
      <c r="Z123" s="141">
        <f t="shared" si="19"/>
        <v>1</v>
      </c>
      <c r="AA123" s="148"/>
      <c r="AB123" s="262" t="str">
        <f>IFERROR(VLOOKUP(C123,Tabla15[[Piloto2]:[Puntos clase5]],4, FALSE), " ")</f>
        <v>2RM</v>
      </c>
    </row>
    <row r="124" spans="2:39" ht="12.75" customHeight="1" x14ac:dyDescent="0.3">
      <c r="B124" s="133" t="s">
        <v>658</v>
      </c>
      <c r="C124" s="142" t="s">
        <v>620</v>
      </c>
      <c r="D124" s="482">
        <v>3</v>
      </c>
      <c r="E124" s="482" t="str">
        <f>LEFT(AB124,LEN(AB124)-2)</f>
        <v>2</v>
      </c>
      <c r="F124" s="135">
        <f>IFERROR(VLOOKUP(C124,'01_RS ALCARRIA'!$F$6:$R$36,13,FALSE),"")</f>
        <v>0</v>
      </c>
      <c r="G124" s="135">
        <f>IFERROR(VLOOKUP(C124,'01_RS ALCARRIA'!$F$6:$T$36,15,FALSE),"")</f>
        <v>0</v>
      </c>
      <c r="H124" s="138">
        <f>(F124+G124)*2</f>
        <v>0</v>
      </c>
      <c r="I124" s="135"/>
      <c r="J124" s="135"/>
      <c r="K124" s="138"/>
      <c r="L124" s="135"/>
      <c r="M124" s="135"/>
      <c r="N124" s="138"/>
      <c r="O124" s="135"/>
      <c r="P124" s="135"/>
      <c r="Q124" s="138"/>
      <c r="R124" s="135"/>
      <c r="S124" s="135"/>
      <c r="T124" s="138"/>
      <c r="U124" s="135"/>
      <c r="V124" s="135"/>
      <c r="W124" s="138"/>
      <c r="X124" s="139">
        <f t="shared" si="17"/>
        <v>0</v>
      </c>
      <c r="Y124" s="140" t="str">
        <f t="shared" si="18"/>
        <v>No</v>
      </c>
      <c r="Z124" s="141">
        <f t="shared" si="19"/>
        <v>1</v>
      </c>
      <c r="AA124" s="148"/>
      <c r="AB124" s="262" t="str">
        <f>IFERROR(VLOOKUP(C124,Tabla15[[Piloto2]:[Puntos clase5]],4, FALSE), " ")</f>
        <v>2RM</v>
      </c>
    </row>
    <row r="125" spans="2:39" ht="12.75" customHeight="1" x14ac:dyDescent="0.3">
      <c r="B125" s="133" t="s">
        <v>658</v>
      </c>
      <c r="C125" s="142" t="s">
        <v>629</v>
      </c>
      <c r="D125" s="482">
        <v>2</v>
      </c>
      <c r="E125" s="482" t="str">
        <f>LEFT(AB125,LEN(AB125)-2)</f>
        <v>2</v>
      </c>
      <c r="F125" s="135">
        <v>0</v>
      </c>
      <c r="G125" s="135">
        <v>0</v>
      </c>
      <c r="H125" s="138">
        <f>(F125+G125)</f>
        <v>0</v>
      </c>
      <c r="I125" s="135">
        <v>0</v>
      </c>
      <c r="J125" s="135">
        <v>0</v>
      </c>
      <c r="K125" s="138">
        <f>(I125+J125)</f>
        <v>0</v>
      </c>
      <c r="L125" s="135"/>
      <c r="M125" s="135"/>
      <c r="N125" s="138"/>
      <c r="O125" s="135"/>
      <c r="P125" s="135"/>
      <c r="Q125" s="138"/>
      <c r="R125" s="135"/>
      <c r="S125" s="135"/>
      <c r="T125" s="138"/>
      <c r="U125" s="135"/>
      <c r="V125" s="135"/>
      <c r="W125" s="138"/>
      <c r="X125" s="139">
        <f t="shared" si="17"/>
        <v>0</v>
      </c>
      <c r="Y125" s="140" t="str">
        <f t="shared" si="18"/>
        <v>No</v>
      </c>
      <c r="Z125" s="141">
        <f t="shared" si="19"/>
        <v>2</v>
      </c>
      <c r="AA125" s="148"/>
      <c r="AB125" s="262" t="str">
        <f>IFERROR(VLOOKUP(C125,Tabla15[[Piloto2]:[Puntos clase5]],4, FALSE), " ")</f>
        <v>2RM</v>
      </c>
    </row>
    <row r="126" spans="2:39" ht="12.75" customHeight="1" x14ac:dyDescent="0.3">
      <c r="B126" s="133" t="s">
        <v>658</v>
      </c>
      <c r="C126" s="142" t="s">
        <v>633</v>
      </c>
      <c r="D126" s="482">
        <v>3</v>
      </c>
      <c r="E126" s="482">
        <v>2</v>
      </c>
      <c r="F126" s="135">
        <v>0</v>
      </c>
      <c r="G126" s="135">
        <v>0</v>
      </c>
      <c r="H126" s="138">
        <f>(F126+G126)</f>
        <v>0</v>
      </c>
      <c r="I126" s="135"/>
      <c r="J126" s="135"/>
      <c r="K126" s="138"/>
      <c r="L126" s="135"/>
      <c r="M126" s="135"/>
      <c r="N126" s="138"/>
      <c r="O126" s="135"/>
      <c r="P126" s="135"/>
      <c r="Q126" s="138"/>
      <c r="R126" s="135"/>
      <c r="S126" s="135"/>
      <c r="T126" s="138"/>
      <c r="U126" s="135"/>
      <c r="V126" s="135"/>
      <c r="W126" s="138"/>
      <c r="X126" s="139">
        <f t="shared" si="17"/>
        <v>0</v>
      </c>
      <c r="Y126" s="140" t="str">
        <f t="shared" si="18"/>
        <v>No</v>
      </c>
      <c r="Z126" s="141">
        <f t="shared" si="19"/>
        <v>1</v>
      </c>
      <c r="AA126" s="148"/>
      <c r="AB126" s="262" t="str">
        <f>IFERROR(VLOOKUP(C126,Tabla15[[Piloto2]:[Puntos clase5]],4, FALSE), " ")</f>
        <v>2RM</v>
      </c>
    </row>
    <row r="127" spans="2:39" ht="12.75" customHeight="1" x14ac:dyDescent="0.3">
      <c r="B127" s="133" t="s">
        <v>658</v>
      </c>
      <c r="C127" s="134" t="s">
        <v>636</v>
      </c>
      <c r="D127" s="482">
        <v>5</v>
      </c>
      <c r="E127" s="482" t="str">
        <f>LEFT(AB127,LEN(AB127)-2)</f>
        <v>2</v>
      </c>
      <c r="F127" s="135">
        <v>0</v>
      </c>
      <c r="G127" s="135">
        <v>0</v>
      </c>
      <c r="H127" s="138">
        <f>(F127+G127)</f>
        <v>0</v>
      </c>
      <c r="I127" s="135"/>
      <c r="J127" s="135"/>
      <c r="K127" s="138"/>
      <c r="L127" s="135"/>
      <c r="M127" s="135"/>
      <c r="N127" s="138"/>
      <c r="O127" s="135"/>
      <c r="P127" s="135"/>
      <c r="Q127" s="138"/>
      <c r="R127" s="135"/>
      <c r="S127" s="135"/>
      <c r="T127" s="138"/>
      <c r="U127" s="135"/>
      <c r="V127" s="135"/>
      <c r="W127" s="138"/>
      <c r="X127" s="139">
        <f t="shared" si="17"/>
        <v>0</v>
      </c>
      <c r="Y127" s="140" t="str">
        <f t="shared" si="18"/>
        <v>No</v>
      </c>
      <c r="Z127" s="141">
        <f t="shared" si="19"/>
        <v>1</v>
      </c>
      <c r="AA127" s="148"/>
      <c r="AB127" s="262" t="str">
        <f>IFERROR(VLOOKUP(C127,Tabla15[[Piloto2]:[Puntos clase5]],4, FALSE), " ")</f>
        <v>2RM</v>
      </c>
    </row>
    <row r="128" spans="2:39" ht="12.75" customHeight="1" x14ac:dyDescent="0.3">
      <c r="B128" s="133" t="s">
        <v>658</v>
      </c>
      <c r="C128" s="142" t="s">
        <v>458</v>
      </c>
      <c r="D128" s="482">
        <v>1</v>
      </c>
      <c r="E128" s="482">
        <v>4</v>
      </c>
      <c r="F128" s="135"/>
      <c r="G128" s="135"/>
      <c r="H128" s="138"/>
      <c r="I128" s="135">
        <v>0</v>
      </c>
      <c r="J128" s="135">
        <v>0</v>
      </c>
      <c r="K128" s="138">
        <f>(I128+J128)</f>
        <v>0</v>
      </c>
      <c r="L128" s="135"/>
      <c r="M128" s="135"/>
      <c r="N128" s="138"/>
      <c r="O128" s="135"/>
      <c r="P128" s="135"/>
      <c r="Q128" s="138"/>
      <c r="R128" s="135"/>
      <c r="S128" s="135"/>
      <c r="T128" s="138"/>
      <c r="U128" s="135"/>
      <c r="V128" s="135"/>
      <c r="W128" s="138"/>
      <c r="X128" s="139">
        <f t="shared" si="17"/>
        <v>0</v>
      </c>
      <c r="Y128" s="140" t="str">
        <f t="shared" si="18"/>
        <v>No</v>
      </c>
      <c r="Z128" s="141">
        <f t="shared" si="19"/>
        <v>1</v>
      </c>
      <c r="AA128" s="148"/>
      <c r="AB128" s="262" t="str">
        <f>IFERROR(VLOOKUP(C128,Tabla15[[Piloto2]:[Puntos clase5]],4, FALSE), " ")</f>
        <v xml:space="preserve"> </v>
      </c>
    </row>
    <row r="129" spans="2:39" ht="12.75" customHeight="1" x14ac:dyDescent="0.3">
      <c r="B129" s="133" t="s">
        <v>658</v>
      </c>
      <c r="C129" s="142" t="s">
        <v>679</v>
      </c>
      <c r="D129" s="482">
        <v>1</v>
      </c>
      <c r="E129" s="482">
        <v>4</v>
      </c>
      <c r="F129" s="135"/>
      <c r="G129" s="135"/>
      <c r="H129" s="138"/>
      <c r="I129" s="135">
        <v>0</v>
      </c>
      <c r="J129" s="135">
        <v>0</v>
      </c>
      <c r="K129" s="138">
        <f>(I129+J129)</f>
        <v>0</v>
      </c>
      <c r="L129" s="135"/>
      <c r="M129" s="135"/>
      <c r="N129" s="138"/>
      <c r="O129" s="135"/>
      <c r="P129" s="135"/>
      <c r="Q129" s="138"/>
      <c r="R129" s="135"/>
      <c r="S129" s="135"/>
      <c r="T129" s="138"/>
      <c r="U129" s="135"/>
      <c r="V129" s="135"/>
      <c r="W129" s="138"/>
      <c r="X129" s="139">
        <f t="shared" si="17"/>
        <v>0</v>
      </c>
      <c r="Y129" s="140" t="str">
        <f t="shared" si="18"/>
        <v>No</v>
      </c>
      <c r="Z129" s="141">
        <f t="shared" si="19"/>
        <v>1</v>
      </c>
      <c r="AA129" s="148"/>
      <c r="AB129" s="262"/>
    </row>
    <row r="130" spans="2:39" ht="12.75" customHeight="1" x14ac:dyDescent="0.3">
      <c r="B130" s="133" t="s">
        <v>658</v>
      </c>
      <c r="C130" s="142" t="s">
        <v>681</v>
      </c>
      <c r="D130" s="482">
        <v>3</v>
      </c>
      <c r="E130" s="482">
        <v>2</v>
      </c>
      <c r="F130" s="135"/>
      <c r="G130" s="135"/>
      <c r="H130" s="138"/>
      <c r="I130" s="135">
        <v>0</v>
      </c>
      <c r="J130" s="135">
        <v>0</v>
      </c>
      <c r="K130" s="138">
        <f>(I130+J130)</f>
        <v>0</v>
      </c>
      <c r="L130" s="135"/>
      <c r="M130" s="135"/>
      <c r="N130" s="138"/>
      <c r="O130" s="135"/>
      <c r="P130" s="135"/>
      <c r="Q130" s="138"/>
      <c r="R130" s="135"/>
      <c r="S130" s="135"/>
      <c r="T130" s="138"/>
      <c r="U130" s="135"/>
      <c r="V130" s="135"/>
      <c r="W130" s="138"/>
      <c r="X130" s="139">
        <f t="shared" si="17"/>
        <v>0</v>
      </c>
      <c r="Y130" s="140" t="str">
        <f t="shared" si="18"/>
        <v>No</v>
      </c>
      <c r="Z130" s="141">
        <f t="shared" si="19"/>
        <v>1</v>
      </c>
      <c r="AA130" s="148"/>
      <c r="AB130" s="262"/>
    </row>
    <row r="131" spans="2:39" ht="12.75" customHeight="1" x14ac:dyDescent="0.3">
      <c r="B131" s="133" t="s">
        <v>658</v>
      </c>
      <c r="C131" s="142" t="s">
        <v>684</v>
      </c>
      <c r="D131" s="482">
        <v>4</v>
      </c>
      <c r="E131" s="482">
        <v>2</v>
      </c>
      <c r="F131" s="135"/>
      <c r="G131" s="135"/>
      <c r="H131" s="138"/>
      <c r="I131" s="135">
        <v>0</v>
      </c>
      <c r="J131" s="135">
        <v>0</v>
      </c>
      <c r="K131" s="138">
        <f>(I131+J131)</f>
        <v>0</v>
      </c>
      <c r="L131" s="135"/>
      <c r="M131" s="135"/>
      <c r="N131" s="138"/>
      <c r="O131" s="135"/>
      <c r="P131" s="135"/>
      <c r="Q131" s="138"/>
      <c r="R131" s="135"/>
      <c r="S131" s="135"/>
      <c r="T131" s="138"/>
      <c r="U131" s="135"/>
      <c r="V131" s="135"/>
      <c r="W131" s="138"/>
      <c r="X131" s="139">
        <f t="shared" si="17"/>
        <v>0</v>
      </c>
      <c r="Y131" s="140" t="str">
        <f t="shared" si="18"/>
        <v>No</v>
      </c>
      <c r="Z131" s="141">
        <f t="shared" si="19"/>
        <v>1</v>
      </c>
      <c r="AA131" s="148"/>
      <c r="AB131" s="262"/>
    </row>
    <row r="132" spans="2:39" ht="12.75" customHeight="1" x14ac:dyDescent="0.3">
      <c r="B132" s="147"/>
      <c r="C132" s="147"/>
      <c r="D132" s="147"/>
      <c r="E132" s="147"/>
      <c r="F132" s="147"/>
      <c r="G132" s="147"/>
      <c r="H132" s="147"/>
      <c r="I132" s="147"/>
      <c r="J132" s="147"/>
      <c r="K132" s="147"/>
      <c r="L132" s="147"/>
      <c r="M132" s="147"/>
      <c r="N132" s="147"/>
      <c r="O132" s="147"/>
      <c r="P132" s="147"/>
      <c r="Q132" s="147"/>
      <c r="R132" s="147"/>
      <c r="S132" s="147"/>
      <c r="T132" s="147"/>
      <c r="U132" s="147"/>
      <c r="V132" s="147"/>
      <c r="W132" s="147"/>
      <c r="X132" s="147"/>
      <c r="Y132" s="240"/>
      <c r="Z132" s="127"/>
      <c r="AA132" s="148"/>
      <c r="AB132" s="262"/>
    </row>
    <row r="133" spans="2:39" ht="3.75" customHeight="1" x14ac:dyDescent="0.3">
      <c r="B133" s="155"/>
      <c r="F133" s="155"/>
      <c r="G133" s="155"/>
      <c r="H133" s="155"/>
      <c r="I133" s="155"/>
      <c r="J133" s="155"/>
      <c r="K133" s="155"/>
      <c r="L133" s="155"/>
      <c r="M133" s="155"/>
      <c r="N133" s="155"/>
      <c r="O133" s="155"/>
      <c r="P133" s="155"/>
      <c r="Q133" s="155"/>
      <c r="R133" s="155"/>
      <c r="S133" s="155"/>
      <c r="T133" s="155"/>
      <c r="U133" s="155"/>
      <c r="V133" s="155"/>
      <c r="W133" s="155"/>
      <c r="X133" s="155"/>
      <c r="Y133" s="147"/>
      <c r="Z133" s="127"/>
      <c r="AA133" s="148"/>
      <c r="AB133" s="262"/>
      <c r="AC133" s="8"/>
      <c r="AD133" s="8"/>
      <c r="AE133" s="8"/>
      <c r="AF133" s="8"/>
      <c r="AG133" s="8"/>
      <c r="AH133" s="8"/>
      <c r="AI133" s="8"/>
      <c r="AJ133" s="8"/>
      <c r="AK133" s="8"/>
      <c r="AL133" s="158"/>
      <c r="AM133" s="8"/>
    </row>
    <row r="134" spans="2:39" ht="12.75" customHeight="1" x14ac:dyDescent="0.3">
      <c r="B134" s="1"/>
      <c r="C134" s="235"/>
      <c r="D134" s="284"/>
      <c r="E134" s="285" t="s">
        <v>534</v>
      </c>
      <c r="F134" s="147"/>
      <c r="G134" s="147"/>
      <c r="H134" s="147"/>
      <c r="I134" s="147"/>
      <c r="J134" s="147"/>
      <c r="K134" s="147"/>
      <c r="L134" s="147"/>
      <c r="M134" s="147"/>
      <c r="N134" s="147"/>
      <c r="O134" s="147"/>
      <c r="P134" s="147"/>
      <c r="Q134" s="147"/>
      <c r="R134" s="147"/>
      <c r="S134" s="147"/>
      <c r="T134" s="147"/>
      <c r="U134" s="147"/>
      <c r="V134" s="147"/>
      <c r="W134" s="147"/>
      <c r="X134" s="147"/>
      <c r="Y134" s="147"/>
      <c r="Z134" s="147"/>
      <c r="AA134" s="148"/>
      <c r="AB134" s="262"/>
    </row>
    <row r="135" spans="2:39" ht="3.65" customHeight="1" x14ac:dyDescent="0.3">
      <c r="B135" s="155"/>
      <c r="C135" s="236"/>
      <c r="D135" s="155"/>
      <c r="E135" s="155"/>
      <c r="F135" s="147"/>
      <c r="G135" s="147"/>
      <c r="H135" s="147"/>
      <c r="I135" s="147"/>
      <c r="J135" s="147"/>
      <c r="K135" s="147"/>
      <c r="L135" s="147"/>
      <c r="M135" s="147"/>
      <c r="N135" s="147"/>
      <c r="O135" s="147"/>
      <c r="P135" s="147"/>
      <c r="Q135" s="147"/>
      <c r="R135" s="147"/>
      <c r="S135" s="147"/>
      <c r="T135" s="147"/>
      <c r="U135" s="147"/>
      <c r="V135" s="147"/>
      <c r="W135" s="147"/>
      <c r="X135" s="147"/>
      <c r="Y135" s="147"/>
      <c r="Z135" s="7"/>
      <c r="AA135" s="7"/>
      <c r="AC135" s="8" t="e">
        <f>AC119+#REF!</f>
        <v>#REF!</v>
      </c>
      <c r="AD135" s="8" t="e">
        <f>AD119+#REF!</f>
        <v>#REF!</v>
      </c>
      <c r="AE135" s="8" t="e">
        <f>AE119+#REF!</f>
        <v>#REF!</v>
      </c>
      <c r="AF135" s="8" t="e">
        <f>AF119+#REF!</f>
        <v>#REF!</v>
      </c>
      <c r="AG135" s="8" t="e">
        <f>AG119+#REF!</f>
        <v>#REF!</v>
      </c>
      <c r="AH135" s="8" t="e">
        <f>AH119+#REF!</f>
        <v>#REF!</v>
      </c>
      <c r="AI135" s="8"/>
      <c r="AJ135" s="8"/>
      <c r="AK135" s="8"/>
      <c r="AL135" s="9"/>
      <c r="AM135" s="8" t="e">
        <f>SUM(AD135:AJ135)</f>
        <v>#REF!</v>
      </c>
    </row>
    <row r="136" spans="2:39" ht="12" x14ac:dyDescent="0.3">
      <c r="B136" s="155"/>
      <c r="C136" s="236"/>
      <c r="D136" s="142" t="s">
        <v>691</v>
      </c>
      <c r="E136" s="130" t="s">
        <v>693</v>
      </c>
      <c r="F136" s="147"/>
      <c r="G136" s="147"/>
      <c r="H136" s="147"/>
      <c r="I136" s="147"/>
      <c r="J136" s="147"/>
      <c r="K136" s="147"/>
      <c r="L136" s="147"/>
      <c r="M136" s="147"/>
      <c r="N136" s="147"/>
      <c r="O136" s="147"/>
      <c r="P136" s="147"/>
      <c r="Q136" s="147"/>
      <c r="R136" s="147"/>
      <c r="S136" s="147"/>
      <c r="T136" s="147"/>
      <c r="U136" s="147"/>
      <c r="V136" s="147"/>
      <c r="W136" s="147"/>
      <c r="X136" s="147"/>
      <c r="Y136" s="147"/>
      <c r="Z136" s="7"/>
      <c r="AA136" s="7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</row>
    <row r="137" spans="2:39" ht="12" x14ac:dyDescent="0.3">
      <c r="B137" s="155"/>
      <c r="C137" s="236"/>
      <c r="D137" s="155"/>
      <c r="E137" s="155"/>
      <c r="F137" s="147"/>
      <c r="G137" s="147"/>
      <c r="H137" s="147"/>
      <c r="I137" s="147"/>
      <c r="J137" s="147"/>
      <c r="K137" s="147"/>
      <c r="L137" s="147"/>
      <c r="M137" s="147"/>
      <c r="N137" s="147"/>
      <c r="O137" s="147"/>
      <c r="P137" s="147"/>
      <c r="Q137" s="147"/>
      <c r="R137" s="147"/>
      <c r="S137" s="147"/>
      <c r="T137" s="147"/>
      <c r="U137" s="147"/>
      <c r="V137" s="147"/>
      <c r="W137" s="147"/>
      <c r="X137" s="147"/>
      <c r="Y137" s="147"/>
      <c r="Z137" s="7"/>
      <c r="AA137" s="7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</row>
    <row r="138" spans="2:39" ht="39" customHeight="1" x14ac:dyDescent="0.55000000000000004">
      <c r="B138" s="164" t="s">
        <v>516</v>
      </c>
      <c r="C138" s="165"/>
      <c r="D138" s="165"/>
      <c r="E138" s="165"/>
      <c r="F138" s="165"/>
      <c r="G138" s="165"/>
      <c r="H138" s="165"/>
      <c r="I138" s="165"/>
      <c r="J138" s="165"/>
      <c r="K138" s="165"/>
      <c r="L138" s="165"/>
      <c r="M138" s="165"/>
      <c r="N138" s="165"/>
      <c r="O138" s="165"/>
      <c r="P138" s="165"/>
      <c r="Q138" s="165"/>
      <c r="R138" s="165"/>
      <c r="S138" s="165"/>
      <c r="T138" s="165"/>
      <c r="U138" s="165"/>
      <c r="V138" s="165"/>
      <c r="W138" s="165"/>
      <c r="X138" s="165"/>
    </row>
    <row r="139" spans="2:39" ht="37.5" customHeight="1" x14ac:dyDescent="0.3">
      <c r="B139" s="166" t="s">
        <v>533</v>
      </c>
      <c r="C139" s="167"/>
      <c r="D139" s="167"/>
      <c r="E139" s="167"/>
      <c r="F139" s="167"/>
      <c r="G139" s="167"/>
      <c r="H139" s="167"/>
      <c r="I139" s="167"/>
      <c r="J139" s="167"/>
      <c r="K139" s="167"/>
      <c r="L139" s="167"/>
      <c r="M139" s="167"/>
      <c r="N139" s="167"/>
      <c r="O139" s="167"/>
      <c r="P139" s="167"/>
      <c r="Q139" s="167"/>
      <c r="R139" s="167"/>
      <c r="S139" s="167"/>
      <c r="T139" s="167"/>
      <c r="U139" s="167"/>
      <c r="V139" s="167"/>
      <c r="W139" s="167"/>
      <c r="X139" s="167"/>
      <c r="Y139" s="30"/>
      <c r="Z139" s="30"/>
    </row>
    <row r="140" spans="2:39" ht="12.75" customHeight="1" x14ac:dyDescent="0.3">
      <c r="B140" s="162"/>
      <c r="C140" s="168"/>
      <c r="D140" s="161"/>
      <c r="E140" s="161"/>
      <c r="F140" s="222" t="s">
        <v>220</v>
      </c>
      <c r="G140" s="223"/>
      <c r="H140" s="224"/>
      <c r="I140" s="222" t="s">
        <v>663</v>
      </c>
      <c r="J140" s="225"/>
      <c r="K140" s="226"/>
      <c r="L140" s="222" t="s">
        <v>532</v>
      </c>
      <c r="M140" s="225"/>
      <c r="N140" s="226"/>
      <c r="O140" s="222" t="s">
        <v>526</v>
      </c>
      <c r="P140" s="225"/>
      <c r="Q140" s="226"/>
      <c r="R140" s="222" t="s">
        <v>287</v>
      </c>
      <c r="S140" s="225"/>
      <c r="T140" s="226"/>
      <c r="U140" s="413" t="s">
        <v>527</v>
      </c>
      <c r="V140" s="226"/>
      <c r="W140" s="226"/>
      <c r="X140" s="161" t="s">
        <v>213</v>
      </c>
      <c r="Y140" s="30"/>
      <c r="Z140" s="30"/>
    </row>
    <row r="141" spans="2:39" ht="12.75" customHeight="1" x14ac:dyDescent="0.3">
      <c r="B141" s="159" t="s">
        <v>0</v>
      </c>
      <c r="C141" s="170" t="s">
        <v>166</v>
      </c>
      <c r="D141" s="160" t="s">
        <v>2</v>
      </c>
      <c r="E141" s="160" t="s">
        <v>3</v>
      </c>
      <c r="F141" s="217" t="s">
        <v>523</v>
      </c>
      <c r="G141" s="218"/>
      <c r="H141" s="219"/>
      <c r="I141" s="217" t="s">
        <v>525</v>
      </c>
      <c r="J141" s="220"/>
      <c r="K141" s="221"/>
      <c r="L141" s="217" t="s">
        <v>664</v>
      </c>
      <c r="M141" s="220"/>
      <c r="N141" s="221"/>
      <c r="O141" s="217" t="s">
        <v>529</v>
      </c>
      <c r="P141" s="220"/>
      <c r="Q141" s="221"/>
      <c r="R141" s="217" t="s">
        <v>530</v>
      </c>
      <c r="S141" s="220"/>
      <c r="T141" s="221"/>
      <c r="U141" s="414" t="s">
        <v>528</v>
      </c>
      <c r="V141" s="255"/>
      <c r="W141" s="415"/>
      <c r="X141" s="160" t="s">
        <v>9</v>
      </c>
      <c r="Y141" s="519" t="s">
        <v>223</v>
      </c>
      <c r="Z141" s="521" t="s">
        <v>4</v>
      </c>
    </row>
    <row r="142" spans="2:39" ht="12.75" customHeight="1" thickBot="1" x14ac:dyDescent="0.35">
      <c r="B142" s="163"/>
      <c r="C142" s="169"/>
      <c r="D142" s="157"/>
      <c r="E142" s="157"/>
      <c r="F142" s="131" t="s">
        <v>33</v>
      </c>
      <c r="G142" s="131" t="s">
        <v>34</v>
      </c>
      <c r="H142" s="132" t="s">
        <v>35</v>
      </c>
      <c r="I142" s="131" t="s">
        <v>33</v>
      </c>
      <c r="J142" s="131" t="s">
        <v>34</v>
      </c>
      <c r="K142" s="132" t="s">
        <v>35</v>
      </c>
      <c r="L142" s="131" t="s">
        <v>33</v>
      </c>
      <c r="M142" s="131" t="s">
        <v>34</v>
      </c>
      <c r="N142" s="132" t="s">
        <v>35</v>
      </c>
      <c r="O142" s="131" t="s">
        <v>33</v>
      </c>
      <c r="P142" s="131" t="s">
        <v>34</v>
      </c>
      <c r="Q142" s="132" t="s">
        <v>35</v>
      </c>
      <c r="R142" s="131" t="s">
        <v>33</v>
      </c>
      <c r="S142" s="131" t="s">
        <v>34</v>
      </c>
      <c r="T142" s="132" t="s">
        <v>35</v>
      </c>
      <c r="U142" s="131" t="s">
        <v>33</v>
      </c>
      <c r="V142" s="131" t="s">
        <v>34</v>
      </c>
      <c r="W142" s="132" t="s">
        <v>35</v>
      </c>
      <c r="X142" s="157"/>
      <c r="Y142" s="520"/>
      <c r="Z142" s="522"/>
    </row>
    <row r="143" spans="2:39" ht="12.75" customHeight="1" thickBot="1" x14ac:dyDescent="0.35">
      <c r="B143" s="133">
        <v>1</v>
      </c>
      <c r="C143" s="142" t="s">
        <v>575</v>
      </c>
      <c r="D143" s="478">
        <v>2</v>
      </c>
      <c r="E143" s="477" t="str">
        <f t="shared" ref="E143:E152" si="22">LEFT(AB143,LEN(AB143)-2)</f>
        <v>2</v>
      </c>
      <c r="F143" s="135">
        <f>IFERROR(VLOOKUP(C143,'01_RS ALCARRIA'!$F$6:$R$36,13,FALSE),"")</f>
        <v>25</v>
      </c>
      <c r="G143" s="135">
        <f>IFERROR(VLOOKUP(C143,'01_RS ALCARRIA'!$F$6:$T$36,15,FALSE),"")</f>
        <v>10</v>
      </c>
      <c r="H143" s="138">
        <f t="shared" ref="H143:H152" si="23">(F143+G143)*2</f>
        <v>70</v>
      </c>
      <c r="I143" s="135">
        <f>IFERROR(VLOOKUP(C143,'02_TCT GUADAMUR'!$F$6:$R$36,13,FALSE),"")</f>
        <v>17</v>
      </c>
      <c r="J143" s="135">
        <f>IFERROR(VLOOKUP(C143,'02_TCT GUADAMUR'!$F$6:$T$36,15,FALSE),"")</f>
        <v>6</v>
      </c>
      <c r="K143" s="138">
        <f t="shared" ref="K143:K151" si="24">(I143+J143)</f>
        <v>23</v>
      </c>
      <c r="L143" s="135"/>
      <c r="M143" s="135"/>
      <c r="N143" s="138"/>
      <c r="O143" s="135"/>
      <c r="P143" s="135"/>
      <c r="Q143" s="138"/>
      <c r="R143" s="135"/>
      <c r="S143" s="135"/>
      <c r="T143" s="138"/>
      <c r="U143" s="135"/>
      <c r="V143" s="135"/>
      <c r="W143" s="138"/>
      <c r="X143" s="139">
        <f t="shared" ref="X143:X173" si="25">H143+K143+N143+Q143+T143+W143</f>
        <v>93</v>
      </c>
      <c r="Y143" s="140" t="str">
        <f>IF(Z143&gt;=3,"Sí","No")</f>
        <v>No</v>
      </c>
      <c r="Z143" s="141">
        <f>COUNTA(H143,K143,N143,Q143,T143,W143)</f>
        <v>2</v>
      </c>
      <c r="AA143" s="148"/>
      <c r="AB143" s="262" t="str">
        <f>IFERROR(VLOOKUP(C143,Tabla15[[Piloto2]:[Puntos clase5]],4, FALSE), " ")</f>
        <v>2RM</v>
      </c>
    </row>
    <row r="144" spans="2:39" ht="12.75" customHeight="1" x14ac:dyDescent="0.3">
      <c r="B144" s="133">
        <v>2</v>
      </c>
      <c r="C144" s="142" t="s">
        <v>577</v>
      </c>
      <c r="D144" s="481">
        <v>2</v>
      </c>
      <c r="E144" s="483" t="str">
        <f t="shared" si="22"/>
        <v>2</v>
      </c>
      <c r="F144" s="135">
        <f>IFERROR(VLOOKUP(C144,'01_RS ALCARRIA'!$F$6:$R$36,13,FALSE),"")</f>
        <v>20</v>
      </c>
      <c r="G144" s="135">
        <f>IFERROR(VLOOKUP(C144,'01_RS ALCARRIA'!$F$6:$T$36,15,FALSE),"")</f>
        <v>8</v>
      </c>
      <c r="H144" s="138">
        <f t="shared" si="23"/>
        <v>56</v>
      </c>
      <c r="I144" s="135">
        <f>IFERROR(VLOOKUP(C144,'02_TCT GUADAMUR'!$F$6:$R$36,13,FALSE),"")</f>
        <v>25</v>
      </c>
      <c r="J144" s="135">
        <f>IFERROR(VLOOKUP(C144,'02_TCT GUADAMUR'!$F$6:$T$36,15,FALSE),"")</f>
        <v>10</v>
      </c>
      <c r="K144" s="138">
        <f t="shared" si="24"/>
        <v>35</v>
      </c>
      <c r="L144" s="135"/>
      <c r="M144" s="135"/>
      <c r="N144" s="138"/>
      <c r="O144" s="135"/>
      <c r="P144" s="135"/>
      <c r="Q144" s="138"/>
      <c r="R144" s="135"/>
      <c r="S144" s="135"/>
      <c r="T144" s="138"/>
      <c r="U144" s="135"/>
      <c r="V144" s="135"/>
      <c r="W144" s="138"/>
      <c r="X144" s="139">
        <f t="shared" si="25"/>
        <v>91</v>
      </c>
      <c r="Y144" s="140" t="str">
        <f t="shared" ref="Y144:Y173" si="26">IF(Z144&gt;=3,"Sí","No")</f>
        <v>No</v>
      </c>
      <c r="Z144" s="141">
        <f t="shared" ref="Z144:Z173" si="27">COUNTA(H144,K144,N144,Q144,T144,W144)</f>
        <v>2</v>
      </c>
      <c r="AA144" s="148"/>
      <c r="AB144" s="262" t="str">
        <f>IFERROR(VLOOKUP(C144,Tabla15[[Piloto2]:[Puntos clase5]],4, FALSE), " ")</f>
        <v>2RM</v>
      </c>
    </row>
    <row r="145" spans="2:39" ht="12.75" customHeight="1" x14ac:dyDescent="0.3">
      <c r="B145" s="133">
        <v>1</v>
      </c>
      <c r="C145" s="142" t="s">
        <v>590</v>
      </c>
      <c r="D145" s="479">
        <v>3</v>
      </c>
      <c r="E145" s="483" t="str">
        <f t="shared" si="22"/>
        <v>2</v>
      </c>
      <c r="F145" s="135">
        <f>IFERROR(VLOOKUP(C145,'01_RS ALCARRIA'!$F$6:$R$36,13,FALSE),"")</f>
        <v>15</v>
      </c>
      <c r="G145" s="135">
        <f>IFERROR(VLOOKUP(C145,'01_RS ALCARRIA'!$F$6:$T$36,15,FALSE),"")</f>
        <v>10</v>
      </c>
      <c r="H145" s="138">
        <f t="shared" si="23"/>
        <v>50</v>
      </c>
      <c r="I145" s="135">
        <f>IFERROR(VLOOKUP(C145,'02_TCT GUADAMUR'!$F$6:$R$36,13,FALSE),"")</f>
        <v>12</v>
      </c>
      <c r="J145" s="135">
        <f>IFERROR(VLOOKUP(C145,'02_TCT GUADAMUR'!$F$6:$T$36,15,FALSE),"")</f>
        <v>10</v>
      </c>
      <c r="K145" s="138">
        <f t="shared" si="24"/>
        <v>22</v>
      </c>
      <c r="L145" s="135"/>
      <c r="M145" s="135"/>
      <c r="N145" s="138"/>
      <c r="O145" s="135"/>
      <c r="P145" s="135"/>
      <c r="Q145" s="138"/>
      <c r="R145" s="135"/>
      <c r="S145" s="135"/>
      <c r="T145" s="138"/>
      <c r="U145" s="135"/>
      <c r="V145" s="135"/>
      <c r="W145" s="138"/>
      <c r="X145" s="139">
        <f t="shared" si="25"/>
        <v>72</v>
      </c>
      <c r="Y145" s="140" t="str">
        <f t="shared" si="26"/>
        <v>No</v>
      </c>
      <c r="Z145" s="141">
        <f t="shared" si="27"/>
        <v>2</v>
      </c>
      <c r="AA145" s="148"/>
      <c r="AB145" s="262" t="str">
        <f>IFERROR(VLOOKUP(C145,Tabla15[[Piloto2]:[Puntos clase5]],4, FALSE), " ")</f>
        <v>2RM</v>
      </c>
    </row>
    <row r="146" spans="2:39" ht="12.75" customHeight="1" x14ac:dyDescent="0.3">
      <c r="B146" s="133">
        <v>1</v>
      </c>
      <c r="C146" s="134" t="s">
        <v>589</v>
      </c>
      <c r="D146" s="508">
        <v>1</v>
      </c>
      <c r="E146" s="482" t="str">
        <f t="shared" si="22"/>
        <v>4</v>
      </c>
      <c r="F146" s="135">
        <f>IFERROR(VLOOKUP(C146,'01_RS ALCARRIA'!$F$6:$R$36,13,FALSE),"")</f>
        <v>17</v>
      </c>
      <c r="G146" s="284">
        <f>IFERROR(VLOOKUP(C146,'01_RS ALCARRIA'!$F$6:$T$36,15,FALSE),"")/2</f>
        <v>5</v>
      </c>
      <c r="H146" s="138">
        <f t="shared" si="23"/>
        <v>44</v>
      </c>
      <c r="I146" s="135">
        <f>IFERROR(VLOOKUP(C146,'02_TCT GUADAMUR'!$F$6:$R$36,13,FALSE),"")</f>
        <v>15</v>
      </c>
      <c r="J146" s="135">
        <f>IFERROR(VLOOKUP(C146,'02_TCT GUADAMUR'!$F$6:$T$36,15,FALSE),"")</f>
        <v>10</v>
      </c>
      <c r="K146" s="138">
        <f t="shared" si="24"/>
        <v>25</v>
      </c>
      <c r="L146" s="135"/>
      <c r="M146" s="135"/>
      <c r="N146" s="138"/>
      <c r="O146" s="135"/>
      <c r="P146" s="135"/>
      <c r="Q146" s="138"/>
      <c r="R146" s="135"/>
      <c r="S146" s="135"/>
      <c r="T146" s="138"/>
      <c r="U146" s="135"/>
      <c r="V146" s="135"/>
      <c r="W146" s="138"/>
      <c r="X146" s="139">
        <f t="shared" si="25"/>
        <v>69</v>
      </c>
      <c r="Y146" s="140" t="str">
        <f t="shared" si="26"/>
        <v>No</v>
      </c>
      <c r="Z146" s="141">
        <f t="shared" si="27"/>
        <v>2</v>
      </c>
      <c r="AA146" s="148"/>
      <c r="AB146" s="262" t="str">
        <f>IFERROR(VLOOKUP(C146,Tabla15[[Piloto2]:[Puntos clase5]],4, FALSE), " ")</f>
        <v>4RM</v>
      </c>
    </row>
    <row r="147" spans="2:39" ht="12.75" customHeight="1" x14ac:dyDescent="0.3">
      <c r="B147" s="133">
        <v>1</v>
      </c>
      <c r="C147" s="142" t="s">
        <v>598</v>
      </c>
      <c r="D147" s="479">
        <v>5</v>
      </c>
      <c r="E147" s="482" t="str">
        <f t="shared" si="22"/>
        <v>2</v>
      </c>
      <c r="F147" s="135">
        <f>IFERROR(VLOOKUP(C147,'01_RS ALCARRIA'!$F$6:$R$36,13,FALSE),"")</f>
        <v>6</v>
      </c>
      <c r="G147" s="135">
        <f>IFERROR(VLOOKUP(C147,'01_RS ALCARRIA'!$F$6:$T$36,15,FALSE),"")</f>
        <v>10</v>
      </c>
      <c r="H147" s="138">
        <f t="shared" si="23"/>
        <v>32</v>
      </c>
      <c r="I147" s="135">
        <f>IFERROR(VLOOKUP(C147,'02_TCT GUADAMUR'!$F$6:$R$36,13,FALSE),"")</f>
        <v>10</v>
      </c>
      <c r="J147" s="135">
        <f>IFERROR(VLOOKUP(C147,'02_TCT GUADAMUR'!$F$6:$T$36,15,FALSE),"")</f>
        <v>10</v>
      </c>
      <c r="K147" s="138">
        <f t="shared" si="24"/>
        <v>20</v>
      </c>
      <c r="L147" s="135"/>
      <c r="M147" s="135"/>
      <c r="N147" s="138"/>
      <c r="O147" s="135"/>
      <c r="P147" s="135"/>
      <c r="Q147" s="138"/>
      <c r="R147" s="135"/>
      <c r="S147" s="135"/>
      <c r="T147" s="138"/>
      <c r="U147" s="135"/>
      <c r="V147" s="135"/>
      <c r="W147" s="138"/>
      <c r="X147" s="139">
        <f t="shared" si="25"/>
        <v>52</v>
      </c>
      <c r="Y147" s="140" t="str">
        <f t="shared" si="26"/>
        <v>No</v>
      </c>
      <c r="Z147" s="141">
        <f t="shared" si="27"/>
        <v>2</v>
      </c>
      <c r="AA147" s="148"/>
      <c r="AB147" s="262" t="str">
        <f>IFERROR(VLOOKUP(C147,Tabla15[[Piloto2]:[Puntos clase5]],4, FALSE), " ")</f>
        <v>2RM</v>
      </c>
    </row>
    <row r="148" spans="2:39" ht="12.75" customHeight="1" x14ac:dyDescent="0.3">
      <c r="B148" s="133">
        <v>2</v>
      </c>
      <c r="C148" s="142" t="s">
        <v>457</v>
      </c>
      <c r="D148" s="482">
        <v>3</v>
      </c>
      <c r="E148" s="482" t="str">
        <f t="shared" si="22"/>
        <v>2</v>
      </c>
      <c r="F148" s="135">
        <f>IFERROR(VLOOKUP(C148,'01_RS ALCARRIA'!$F$6:$R$36,13,FALSE),"")</f>
        <v>12</v>
      </c>
      <c r="G148" s="135">
        <f>IFERROR(VLOOKUP(C148,'01_RS ALCARRIA'!$F$6:$T$36,15,FALSE),"")</f>
        <v>8</v>
      </c>
      <c r="H148" s="138">
        <f t="shared" si="23"/>
        <v>40</v>
      </c>
      <c r="I148" s="135">
        <v>0</v>
      </c>
      <c r="J148" s="135">
        <v>0</v>
      </c>
      <c r="K148" s="138">
        <f t="shared" si="24"/>
        <v>0</v>
      </c>
      <c r="L148" s="135"/>
      <c r="M148" s="135"/>
      <c r="N148" s="138"/>
      <c r="O148" s="135"/>
      <c r="P148" s="135"/>
      <c r="Q148" s="138"/>
      <c r="R148" s="135"/>
      <c r="S148" s="135"/>
      <c r="T148" s="138"/>
      <c r="U148" s="135"/>
      <c r="V148" s="135"/>
      <c r="W148" s="138"/>
      <c r="X148" s="139">
        <f t="shared" si="25"/>
        <v>40</v>
      </c>
      <c r="Y148" s="140" t="str">
        <f t="shared" si="26"/>
        <v>No</v>
      </c>
      <c r="Z148" s="141">
        <f t="shared" si="27"/>
        <v>2</v>
      </c>
      <c r="AA148" s="148"/>
      <c r="AB148" s="262" t="str">
        <f>IFERROR(VLOOKUP(C148,Tabla15[[Piloto2]:[Puntos clase5]],4, FALSE), " ")</f>
        <v>2RM</v>
      </c>
    </row>
    <row r="149" spans="2:39" ht="12.75" customHeight="1" x14ac:dyDescent="0.3">
      <c r="B149" s="133">
        <v>3</v>
      </c>
      <c r="C149" s="142" t="s">
        <v>596</v>
      </c>
      <c r="D149" s="482">
        <v>3</v>
      </c>
      <c r="E149" s="482" t="str">
        <f t="shared" si="22"/>
        <v>2</v>
      </c>
      <c r="F149" s="135">
        <f>IFERROR(VLOOKUP(C149,'01_RS ALCARRIA'!$F$6:$R$36,13,FALSE),"")</f>
        <v>8</v>
      </c>
      <c r="G149" s="135">
        <f>IFERROR(VLOOKUP(C149,'01_RS ALCARRIA'!$F$6:$T$36,15,FALSE),"")</f>
        <v>5</v>
      </c>
      <c r="H149" s="138">
        <f t="shared" si="23"/>
        <v>26</v>
      </c>
      <c r="I149" s="135">
        <f>IFERROR(VLOOKUP(C149,'02_TCT GUADAMUR'!$F$6:$R$36,13,FALSE),"")</f>
        <v>4</v>
      </c>
      <c r="J149" s="135">
        <f>IFERROR(VLOOKUP(C149,'02_TCT GUADAMUR'!$F$6:$T$36,15,FALSE),"")</f>
        <v>6</v>
      </c>
      <c r="K149" s="138">
        <f t="shared" si="24"/>
        <v>10</v>
      </c>
      <c r="L149" s="135"/>
      <c r="M149" s="135"/>
      <c r="N149" s="138"/>
      <c r="O149" s="135"/>
      <c r="P149" s="135"/>
      <c r="Q149" s="138"/>
      <c r="R149" s="135"/>
      <c r="S149" s="135"/>
      <c r="T149" s="138"/>
      <c r="U149" s="135"/>
      <c r="V149" s="135"/>
      <c r="W149" s="138"/>
      <c r="X149" s="139">
        <f t="shared" si="25"/>
        <v>36</v>
      </c>
      <c r="Y149" s="140" t="str">
        <f t="shared" si="26"/>
        <v>No</v>
      </c>
      <c r="Z149" s="141">
        <f t="shared" si="27"/>
        <v>2</v>
      </c>
      <c r="AA149" s="148"/>
      <c r="AB149" s="262" t="str">
        <f>IFERROR(VLOOKUP(C149,Tabla15[[Piloto2]:[Puntos clase5]],4, FALSE), " ")</f>
        <v>2RM</v>
      </c>
    </row>
    <row r="150" spans="2:39" ht="12.75" customHeight="1" x14ac:dyDescent="0.3">
      <c r="B150" s="133">
        <v>4</v>
      </c>
      <c r="C150" s="142" t="s">
        <v>594</v>
      </c>
      <c r="D150" s="482">
        <v>3</v>
      </c>
      <c r="E150" s="482" t="str">
        <f t="shared" si="22"/>
        <v>2</v>
      </c>
      <c r="F150" s="135">
        <f>IFERROR(VLOOKUP(C150,'01_RS ALCARRIA'!$F$6:$R$36,13,FALSE),"")</f>
        <v>10</v>
      </c>
      <c r="G150" s="135">
        <f>IFERROR(VLOOKUP(C150,'01_RS ALCARRIA'!$F$6:$T$36,15,FALSE),"")</f>
        <v>6</v>
      </c>
      <c r="H150" s="138">
        <f t="shared" si="23"/>
        <v>32</v>
      </c>
      <c r="I150" s="135" t="str">
        <f>IFERROR(VLOOKUP(C150,'02_TCT GUADAMUR'!$F$6:$R$36,13,FALSE),"")</f>
        <v/>
      </c>
      <c r="J150" s="135" t="str">
        <f>IFERROR(VLOOKUP(C150,'02_TCT GUADAMUR'!$F$6:$T$36,15,FALSE),"")</f>
        <v/>
      </c>
      <c r="K150" s="138"/>
      <c r="L150" s="135"/>
      <c r="M150" s="135"/>
      <c r="N150" s="138"/>
      <c r="O150" s="135"/>
      <c r="P150" s="135"/>
      <c r="Q150" s="138"/>
      <c r="R150" s="135"/>
      <c r="S150" s="135"/>
      <c r="T150" s="138"/>
      <c r="U150" s="135"/>
      <c r="V150" s="135"/>
      <c r="W150" s="138"/>
      <c r="X150" s="139">
        <f t="shared" si="25"/>
        <v>32</v>
      </c>
      <c r="Y150" s="140" t="str">
        <f t="shared" si="26"/>
        <v>No</v>
      </c>
      <c r="Z150" s="141">
        <f t="shared" si="27"/>
        <v>1</v>
      </c>
      <c r="AA150" s="148"/>
      <c r="AB150" s="262" t="str">
        <f>IFERROR(VLOOKUP(C150,Tabla15[[Piloto2]:[Puntos clase5]],4, FALSE), " ")</f>
        <v>2RM</v>
      </c>
    </row>
    <row r="151" spans="2:39" ht="12.75" customHeight="1" x14ac:dyDescent="0.3">
      <c r="B151" s="133">
        <v>3</v>
      </c>
      <c r="C151" s="142" t="s">
        <v>669</v>
      </c>
      <c r="D151" s="482">
        <v>2</v>
      </c>
      <c r="E151" s="482">
        <v>2</v>
      </c>
      <c r="F151" s="135"/>
      <c r="G151" s="135"/>
      <c r="H151" s="138"/>
      <c r="I151" s="135">
        <f>IFERROR(VLOOKUP(C151,'02_TCT GUADAMUR'!$F$6:$R$36,13,FALSE),"")</f>
        <v>20</v>
      </c>
      <c r="J151" s="135">
        <f>IFERROR(VLOOKUP(C151,'02_TCT GUADAMUR'!$F$6:$T$36,15,FALSE),"")</f>
        <v>8</v>
      </c>
      <c r="K151" s="138">
        <f t="shared" si="24"/>
        <v>28</v>
      </c>
      <c r="L151" s="135"/>
      <c r="M151" s="135"/>
      <c r="N151" s="138"/>
      <c r="O151" s="135"/>
      <c r="P151" s="135"/>
      <c r="Q151" s="138"/>
      <c r="R151" s="135"/>
      <c r="S151" s="135"/>
      <c r="T151" s="138"/>
      <c r="U151" s="135"/>
      <c r="V151" s="135"/>
      <c r="W151" s="138"/>
      <c r="X151" s="139">
        <f t="shared" si="25"/>
        <v>28</v>
      </c>
      <c r="Y151" s="140"/>
      <c r="Z151" s="141"/>
      <c r="AA151" s="148"/>
      <c r="AB151" s="262"/>
    </row>
    <row r="152" spans="2:39" ht="12.75" customHeight="1" x14ac:dyDescent="0.3">
      <c r="B152" s="133">
        <v>1</v>
      </c>
      <c r="C152" s="134" t="s">
        <v>625</v>
      </c>
      <c r="D152" s="479">
        <v>4</v>
      </c>
      <c r="E152" s="482" t="str">
        <f t="shared" si="22"/>
        <v>2</v>
      </c>
      <c r="F152" s="135">
        <f>IFERROR(VLOOKUP(C152,'01_RS ALCARRIA'!$F$6:$R$36,13,FALSE),"")</f>
        <v>0</v>
      </c>
      <c r="G152" s="284">
        <f>IFERROR(VLOOKUP(C152,'01_RS ALCARRIA'!$F$6:$T$36,15,FALSE),"")/2</f>
        <v>5</v>
      </c>
      <c r="H152" s="138">
        <f t="shared" si="23"/>
        <v>10</v>
      </c>
      <c r="I152" s="135">
        <f>IFERROR(VLOOKUP(C152,'02_TCT GUADAMUR'!$F$6:$R$36,13,FALSE),"")</f>
        <v>2</v>
      </c>
      <c r="J152" s="135">
        <f>IFERROR(VLOOKUP(C152,'02_TCT GUADAMUR'!$F$6:$T$36,15,FALSE),"")</f>
        <v>8</v>
      </c>
      <c r="K152" s="138">
        <f>(I152+J152)</f>
        <v>10</v>
      </c>
      <c r="L152" s="135"/>
      <c r="M152" s="135"/>
      <c r="N152" s="138"/>
      <c r="O152" s="135"/>
      <c r="P152" s="135"/>
      <c r="Q152" s="138"/>
      <c r="R152" s="135"/>
      <c r="S152" s="135"/>
      <c r="T152" s="138"/>
      <c r="U152" s="135"/>
      <c r="V152" s="135"/>
      <c r="W152" s="138"/>
      <c r="X152" s="139">
        <f t="shared" si="25"/>
        <v>20</v>
      </c>
      <c r="Y152" s="140" t="str">
        <f t="shared" si="26"/>
        <v>No</v>
      </c>
      <c r="Z152" s="141">
        <f t="shared" si="27"/>
        <v>2</v>
      </c>
      <c r="AA152" s="148"/>
      <c r="AB152" s="262" t="str">
        <f>IFERROR(VLOOKUP(C152,Tabla15[[Piloto2]:[Puntos clase5]],4, FALSE), " ")</f>
        <v>2RM</v>
      </c>
    </row>
    <row r="153" spans="2:39" ht="12.75" customHeight="1" x14ac:dyDescent="0.3">
      <c r="B153" s="133">
        <v>2</v>
      </c>
      <c r="C153" s="142" t="s">
        <v>670</v>
      </c>
      <c r="D153" s="482">
        <v>4</v>
      </c>
      <c r="E153" s="482">
        <v>2</v>
      </c>
      <c r="F153" s="135"/>
      <c r="G153" s="135"/>
      <c r="H153" s="138"/>
      <c r="I153" s="135">
        <f>IFERROR(VLOOKUP(C153,'02_TCT GUADAMUR'!$F$6:$R$36,13,FALSE),"")</f>
        <v>8</v>
      </c>
      <c r="J153" s="135">
        <f>IFERROR(VLOOKUP(C153,'02_TCT GUADAMUR'!$F$6:$T$36,15,FALSE),"")</f>
        <v>10</v>
      </c>
      <c r="K153" s="138">
        <f>(I153+J153)</f>
        <v>18</v>
      </c>
      <c r="L153" s="135"/>
      <c r="M153" s="135"/>
      <c r="N153" s="138"/>
      <c r="O153" s="135"/>
      <c r="P153" s="135"/>
      <c r="Q153" s="138"/>
      <c r="R153" s="135"/>
      <c r="S153" s="135"/>
      <c r="T153" s="138"/>
      <c r="U153" s="135"/>
      <c r="V153" s="135"/>
      <c r="W153" s="138"/>
      <c r="X153" s="139">
        <f t="shared" si="25"/>
        <v>18</v>
      </c>
      <c r="Y153" s="140" t="str">
        <f t="shared" si="26"/>
        <v>No</v>
      </c>
      <c r="Z153" s="141">
        <f t="shared" si="27"/>
        <v>1</v>
      </c>
      <c r="AA153" s="148"/>
      <c r="AB153" s="262" t="str">
        <f>IFERROR(VLOOKUP(C153,Tabla15[[Piloto2]:[Puntos clase5]],4, FALSE), " ")</f>
        <v xml:space="preserve"> </v>
      </c>
    </row>
    <row r="154" spans="2:39" ht="12.75" customHeight="1" x14ac:dyDescent="0.3">
      <c r="B154" s="133">
        <v>5</v>
      </c>
      <c r="C154" s="142" t="s">
        <v>605</v>
      </c>
      <c r="D154" s="482">
        <v>3</v>
      </c>
      <c r="E154" s="482" t="str">
        <f>LEFT(AB154,LEN(AB154)-2)</f>
        <v>2</v>
      </c>
      <c r="F154" s="135">
        <f>IFERROR(VLOOKUP(C154,'01_RS ALCARRIA'!$F$6:$R$36,13,FALSE),"")</f>
        <v>5</v>
      </c>
      <c r="G154" s="135">
        <f>IFERROR(VLOOKUP(C154,'01_RS ALCARRIA'!$F$6:$T$36,15,FALSE),"")</f>
        <v>3</v>
      </c>
      <c r="H154" s="138">
        <f>(F154+G154)*2</f>
        <v>16</v>
      </c>
      <c r="I154" s="135">
        <f>IFERROR(VLOOKUP(C154,'02_TCT GUADAMUR'!$F$6:$R$36,13,FALSE),"")</f>
        <v>0</v>
      </c>
      <c r="J154" s="135">
        <f>IFERROR(VLOOKUP(C154,'02_TCT GUADAMUR'!$F$6:$T$36,15,FALSE),"")</f>
        <v>1</v>
      </c>
      <c r="K154" s="138">
        <f>(I154+J154)</f>
        <v>1</v>
      </c>
      <c r="L154" s="135"/>
      <c r="M154" s="135"/>
      <c r="N154" s="138"/>
      <c r="O154" s="135"/>
      <c r="P154" s="135"/>
      <c r="Q154" s="138"/>
      <c r="R154" s="135"/>
      <c r="S154" s="135"/>
      <c r="T154" s="138"/>
      <c r="U154" s="135"/>
      <c r="V154" s="135"/>
      <c r="W154" s="138"/>
      <c r="X154" s="139">
        <f t="shared" si="25"/>
        <v>17</v>
      </c>
      <c r="Y154" s="140" t="str">
        <f t="shared" si="26"/>
        <v>No</v>
      </c>
      <c r="Z154" s="141">
        <f t="shared" si="27"/>
        <v>2</v>
      </c>
      <c r="AA154" s="148"/>
      <c r="AB154" s="262" t="str">
        <f>IFERROR(VLOOKUP(C154,Tabla15[[Piloto2]:[Puntos clase5]],4, FALSE), " ")</f>
        <v>2RM</v>
      </c>
      <c r="AC154" s="232" t="s">
        <v>271</v>
      </c>
      <c r="AD154" s="229"/>
      <c r="AE154" s="229"/>
      <c r="AF154" s="229"/>
      <c r="AG154" s="229"/>
      <c r="AH154" s="229"/>
      <c r="AI154" s="230"/>
    </row>
    <row r="155" spans="2:39" ht="12.75" customHeight="1" x14ac:dyDescent="0.3">
      <c r="B155" s="133">
        <v>6</v>
      </c>
      <c r="C155" s="142" t="s">
        <v>672</v>
      </c>
      <c r="D155" s="482">
        <v>3</v>
      </c>
      <c r="E155" s="482">
        <v>2</v>
      </c>
      <c r="F155" s="135"/>
      <c r="G155" s="135"/>
      <c r="H155" s="138"/>
      <c r="I155" s="135">
        <f>IFERROR(VLOOKUP(C155,'02_TCT GUADAMUR'!$F$6:$R$36,13,FALSE),"")</f>
        <v>6</v>
      </c>
      <c r="J155" s="135">
        <f>IFERROR(VLOOKUP(C155,'02_TCT GUADAMUR'!$F$6:$T$36,15,FALSE),"")</f>
        <v>8</v>
      </c>
      <c r="K155" s="138">
        <f>(I155+J155)</f>
        <v>14</v>
      </c>
      <c r="L155" s="135"/>
      <c r="M155" s="135"/>
      <c r="N155" s="138"/>
      <c r="O155" s="135"/>
      <c r="P155" s="135"/>
      <c r="Q155" s="138"/>
      <c r="R155" s="135"/>
      <c r="S155" s="135"/>
      <c r="T155" s="138"/>
      <c r="U155" s="135"/>
      <c r="V155" s="135"/>
      <c r="W155" s="138"/>
      <c r="X155" s="139">
        <f t="shared" si="25"/>
        <v>14</v>
      </c>
      <c r="Y155" s="140" t="str">
        <f t="shared" si="26"/>
        <v>No</v>
      </c>
      <c r="Z155" s="141">
        <f t="shared" si="27"/>
        <v>1</v>
      </c>
      <c r="AA155" s="148"/>
      <c r="AB155" s="262" t="str">
        <f>IFERROR(VLOOKUP(C155,Tabla15[[Piloto2]:[Puntos clase5]],4, FALSE), " ")</f>
        <v xml:space="preserve"> </v>
      </c>
      <c r="AC155" s="8" t="s">
        <v>272</v>
      </c>
      <c r="AD155" s="8">
        <v>1</v>
      </c>
      <c r="AE155" s="8">
        <v>2</v>
      </c>
      <c r="AF155" s="8">
        <v>3</v>
      </c>
      <c r="AG155" s="8">
        <v>4</v>
      </c>
      <c r="AH155" s="8">
        <v>5</v>
      </c>
      <c r="AI155" s="8" t="s">
        <v>9</v>
      </c>
    </row>
    <row r="156" spans="2:39" ht="12.75" customHeight="1" x14ac:dyDescent="0.3">
      <c r="B156" s="133">
        <v>2</v>
      </c>
      <c r="C156" s="142" t="s">
        <v>627</v>
      </c>
      <c r="D156" s="482">
        <v>5</v>
      </c>
      <c r="E156" s="482" t="str">
        <f>LEFT(AB156,LEN(AB156)-2)</f>
        <v>4</v>
      </c>
      <c r="F156" s="135">
        <v>0</v>
      </c>
      <c r="G156" s="135">
        <v>0</v>
      </c>
      <c r="H156" s="138">
        <f>(F156+G156)*2</f>
        <v>0</v>
      </c>
      <c r="I156" s="135">
        <f>IFERROR(VLOOKUP(C156,'02_TCT GUADAMUR'!$F$6:$R$36,13,FALSE),"")</f>
        <v>5</v>
      </c>
      <c r="J156" s="135">
        <f>IFERROR(VLOOKUP(C156,'02_TCT GUADAMUR'!$F$6:$T$36,15,FALSE),"")</f>
        <v>8</v>
      </c>
      <c r="K156" s="138">
        <f>(I156+J156)</f>
        <v>13</v>
      </c>
      <c r="L156" s="135"/>
      <c r="M156" s="135"/>
      <c r="N156" s="138"/>
      <c r="O156" s="135"/>
      <c r="P156" s="135"/>
      <c r="Q156" s="138"/>
      <c r="R156" s="135"/>
      <c r="S156" s="135"/>
      <c r="T156" s="138"/>
      <c r="U156" s="135"/>
      <c r="V156" s="135"/>
      <c r="W156" s="138"/>
      <c r="X156" s="139">
        <f t="shared" si="25"/>
        <v>13</v>
      </c>
      <c r="Y156" s="140" t="str">
        <f t="shared" si="26"/>
        <v>No</v>
      </c>
      <c r="Z156" s="141">
        <f t="shared" si="27"/>
        <v>2</v>
      </c>
      <c r="AA156" s="148"/>
      <c r="AB156" s="262" t="str">
        <f>IFERROR(VLOOKUP(C156,Tabla15[[Piloto2]:[Puntos clase5]],4, FALSE), " ")</f>
        <v>4RM</v>
      </c>
      <c r="AC156" s="8">
        <f>COUNTA(C52:C71)</f>
        <v>20</v>
      </c>
      <c r="AD156" s="8">
        <f>COUNTIF($D$6:$D$25,AD155)</f>
        <v>2</v>
      </c>
      <c r="AE156" s="8">
        <f>COUNTIF($D$6:$D$25,AE155)</f>
        <v>4</v>
      </c>
      <c r="AF156" s="8">
        <f>COUNTIF($D$6:$D$25,AF155)</f>
        <v>7</v>
      </c>
      <c r="AG156" s="8">
        <f>COUNTIF($D$6:$D$25,AG155)</f>
        <v>4</v>
      </c>
      <c r="AH156" s="8">
        <f>COUNTIF($D$6:$D$25,AH155)</f>
        <v>3</v>
      </c>
      <c r="AI156" s="231">
        <f>SUM(AD156:AH156)</f>
        <v>20</v>
      </c>
    </row>
    <row r="157" spans="2:39" ht="12.75" customHeight="1" x14ac:dyDescent="0.3">
      <c r="B157" s="133">
        <v>7</v>
      </c>
      <c r="C157" s="142" t="s">
        <v>212</v>
      </c>
      <c r="D157" s="482">
        <v>3</v>
      </c>
      <c r="E157" s="482" t="str">
        <f>LEFT(AB157,LEN(AB157)-2)</f>
        <v>2</v>
      </c>
      <c r="F157" s="135">
        <f>IFERROR(VLOOKUP(C157,'01_RS ALCARRIA'!$F$6:$R$36,13,FALSE),"")</f>
        <v>4</v>
      </c>
      <c r="G157" s="135">
        <f>IFERROR(VLOOKUP(C157,'01_RS ALCARRIA'!$F$6:$T$36,15,FALSE),"")</f>
        <v>1</v>
      </c>
      <c r="H157" s="138">
        <f>(F157+G157)*2</f>
        <v>10</v>
      </c>
      <c r="I157" s="135" t="str">
        <f>IFERROR(VLOOKUP(C157,'02_TCT GUADAMUR'!$F$6:$R$36,13,FALSE),"")</f>
        <v/>
      </c>
      <c r="J157" s="135" t="str">
        <f>IFERROR(VLOOKUP(C157,'02_TCT GUADAMUR'!$F$6:$T$36,15,FALSE),"")</f>
        <v/>
      </c>
      <c r="K157" s="138"/>
      <c r="L157" s="135"/>
      <c r="M157" s="135"/>
      <c r="N157" s="138"/>
      <c r="O157" s="135"/>
      <c r="P157" s="135"/>
      <c r="Q157" s="138"/>
      <c r="R157" s="135"/>
      <c r="S157" s="135"/>
      <c r="T157" s="138"/>
      <c r="U157" s="135"/>
      <c r="V157" s="135"/>
      <c r="W157" s="138"/>
      <c r="X157" s="139">
        <f t="shared" si="25"/>
        <v>10</v>
      </c>
      <c r="Y157" s="140" t="str">
        <f t="shared" si="26"/>
        <v>No</v>
      </c>
      <c r="Z157" s="141">
        <f t="shared" si="27"/>
        <v>1</v>
      </c>
      <c r="AA157" s="148"/>
      <c r="AB157" s="262" t="str">
        <f>IFERROR(VLOOKUP(C157,Tabla15[[Piloto2]:[Puntos clase5]],4, FALSE), " ")</f>
        <v>2RM</v>
      </c>
    </row>
    <row r="158" spans="2:39" ht="12.75" customHeight="1" x14ac:dyDescent="0.3">
      <c r="B158" s="133">
        <v>8</v>
      </c>
      <c r="C158" s="142" t="s">
        <v>611</v>
      </c>
      <c r="D158" s="482">
        <v>3</v>
      </c>
      <c r="E158" s="482" t="str">
        <f>LEFT(AB158,LEN(AB158)-2)</f>
        <v>2</v>
      </c>
      <c r="F158" s="135">
        <f>IFERROR(VLOOKUP(C158,'01_RS ALCARRIA'!$F$6:$R$36,13,FALSE),"")</f>
        <v>2</v>
      </c>
      <c r="G158" s="135">
        <f>IFERROR(VLOOKUP(C158,'01_RS ALCARRIA'!$F$6:$T$36,15,FALSE),"")</f>
        <v>0</v>
      </c>
      <c r="H158" s="138">
        <f>(F158+G158)*2</f>
        <v>4</v>
      </c>
      <c r="I158" s="135">
        <f>IFERROR(VLOOKUP(C158,'02_TCT GUADAMUR'!$F$6:$R$36,13,FALSE),"")</f>
        <v>1</v>
      </c>
      <c r="J158" s="135">
        <f>IFERROR(VLOOKUP(C158,'02_TCT GUADAMUR'!$F$6:$T$36,15,FALSE),"")</f>
        <v>3</v>
      </c>
      <c r="K158" s="138">
        <f t="shared" ref="K158:K163" si="28">(I158+J158)</f>
        <v>4</v>
      </c>
      <c r="L158" s="135"/>
      <c r="M158" s="135"/>
      <c r="N158" s="138"/>
      <c r="O158" s="135"/>
      <c r="P158" s="135"/>
      <c r="Q158" s="138"/>
      <c r="R158" s="135"/>
      <c r="S158" s="135"/>
      <c r="T158" s="138"/>
      <c r="U158" s="135"/>
      <c r="V158" s="135"/>
      <c r="W158" s="138"/>
      <c r="X158" s="139">
        <f t="shared" si="25"/>
        <v>8</v>
      </c>
      <c r="Y158" s="140" t="str">
        <f t="shared" si="26"/>
        <v>No</v>
      </c>
      <c r="Z158" s="141">
        <f t="shared" si="27"/>
        <v>2</v>
      </c>
      <c r="AA158" s="7"/>
      <c r="AB158" s="262" t="str">
        <f>IFERROR(VLOOKUP(C158,Tabla15[[Piloto2]:[Puntos clase5]],4, FALSE), " ")</f>
        <v>2RM</v>
      </c>
      <c r="AC158" s="6"/>
    </row>
    <row r="159" spans="2:39" ht="12.75" customHeight="1" x14ac:dyDescent="0.3">
      <c r="B159" s="133">
        <v>8</v>
      </c>
      <c r="C159" s="142" t="s">
        <v>673</v>
      </c>
      <c r="D159" s="482">
        <v>3</v>
      </c>
      <c r="E159" s="482">
        <v>2</v>
      </c>
      <c r="F159" s="135"/>
      <c r="G159" s="135"/>
      <c r="H159" s="138"/>
      <c r="I159" s="135">
        <f>IFERROR(VLOOKUP(C159,'02_TCT GUADAMUR'!$F$6:$R$36,13,FALSE),"")</f>
        <v>3</v>
      </c>
      <c r="J159" s="135">
        <f>IFERROR(VLOOKUP(C159,'02_TCT GUADAMUR'!$F$6:$T$36,15,FALSE),"")</f>
        <v>5</v>
      </c>
      <c r="K159" s="138">
        <f t="shared" si="28"/>
        <v>8</v>
      </c>
      <c r="L159" s="135"/>
      <c r="M159" s="135"/>
      <c r="N159" s="138"/>
      <c r="O159" s="135"/>
      <c r="P159" s="135"/>
      <c r="Q159" s="138"/>
      <c r="R159" s="135"/>
      <c r="S159" s="135"/>
      <c r="T159" s="138"/>
      <c r="U159" s="135"/>
      <c r="V159" s="135"/>
      <c r="W159" s="138"/>
      <c r="X159" s="139">
        <f t="shared" si="25"/>
        <v>8</v>
      </c>
      <c r="Y159" s="140" t="str">
        <f t="shared" si="26"/>
        <v>No</v>
      </c>
      <c r="Z159" s="141">
        <f t="shared" si="27"/>
        <v>1</v>
      </c>
      <c r="AB159" s="262" t="str">
        <f>IFERROR(VLOOKUP(C159,Tabla15[[Piloto2]:[Puntos clase5]],4, FALSE), " ")</f>
        <v xml:space="preserve"> </v>
      </c>
      <c r="AC159" s="2"/>
    </row>
    <row r="160" spans="2:39" ht="12.75" customHeight="1" x14ac:dyDescent="0.3">
      <c r="B160" s="133">
        <v>10</v>
      </c>
      <c r="C160" s="142" t="s">
        <v>608</v>
      </c>
      <c r="D160" s="482">
        <v>3</v>
      </c>
      <c r="E160" s="482" t="str">
        <f>LEFT(AB160,LEN(AB160)-2)</f>
        <v>2</v>
      </c>
      <c r="F160" s="135">
        <f>IFERROR(VLOOKUP(C160,'01_RS ALCARRIA'!$F$6:$R$36,13,FALSE),"")</f>
        <v>3</v>
      </c>
      <c r="G160" s="135">
        <f>IFERROR(VLOOKUP(C160,'01_RS ALCARRIA'!$F$6:$T$36,15,FALSE),"")</f>
        <v>0</v>
      </c>
      <c r="H160" s="138">
        <f>(F160+G160)*2</f>
        <v>6</v>
      </c>
      <c r="I160" s="135">
        <f>IFERROR(VLOOKUP(C160,'02_TCT GUADAMUR'!$F$6:$R$36,13,FALSE),"")</f>
        <v>0</v>
      </c>
      <c r="J160" s="135">
        <f>IFERROR(VLOOKUP(C160,'02_TCT GUADAMUR'!$F$6:$T$36,15,FALSE),"")</f>
        <v>0</v>
      </c>
      <c r="K160" s="138">
        <f t="shared" si="28"/>
        <v>0</v>
      </c>
      <c r="L160" s="135"/>
      <c r="M160" s="135"/>
      <c r="N160" s="138"/>
      <c r="O160" s="135"/>
      <c r="P160" s="135"/>
      <c r="Q160" s="138"/>
      <c r="R160" s="135"/>
      <c r="S160" s="135"/>
      <c r="T160" s="138"/>
      <c r="U160" s="135"/>
      <c r="V160" s="135"/>
      <c r="W160" s="138"/>
      <c r="X160" s="139">
        <f t="shared" si="25"/>
        <v>6</v>
      </c>
      <c r="Y160" s="140" t="str">
        <f t="shared" si="26"/>
        <v>No</v>
      </c>
      <c r="Z160" s="141">
        <f t="shared" si="27"/>
        <v>2</v>
      </c>
      <c r="AA160" s="121"/>
      <c r="AB160" s="262" t="str">
        <f>IFERROR(VLOOKUP(C160,Tabla15[[Piloto2]:[Puntos clase5]],4, FALSE), " ")</f>
        <v>2RM</v>
      </c>
      <c r="AC160" s="8" t="s">
        <v>8</v>
      </c>
      <c r="AD160" s="8">
        <v>1</v>
      </c>
      <c r="AE160" s="8">
        <v>2</v>
      </c>
      <c r="AF160" s="8">
        <v>3</v>
      </c>
      <c r="AG160" s="8">
        <v>4</v>
      </c>
      <c r="AH160" s="8">
        <v>5</v>
      </c>
      <c r="AI160" s="8"/>
      <c r="AJ160" s="8"/>
      <c r="AK160" s="8"/>
      <c r="AL160" s="8"/>
      <c r="AM160" s="8" t="s">
        <v>9</v>
      </c>
    </row>
    <row r="161" spans="2:39" ht="12.75" customHeight="1" x14ac:dyDescent="0.3">
      <c r="B161" s="133">
        <v>3</v>
      </c>
      <c r="C161" s="142" t="s">
        <v>631</v>
      </c>
      <c r="D161" s="482">
        <v>5</v>
      </c>
      <c r="E161" s="482" t="str">
        <f>LEFT(AB161,LEN(AB161)-2)</f>
        <v>2</v>
      </c>
      <c r="F161" s="135">
        <v>0</v>
      </c>
      <c r="G161" s="135">
        <v>0</v>
      </c>
      <c r="H161" s="138">
        <f>(F161+G161)*2</f>
        <v>0</v>
      </c>
      <c r="I161" s="135">
        <f>IFERROR(VLOOKUP(C161,'02_TCT GUADAMUR'!$F$6:$R$36,13,FALSE),"")</f>
        <v>0</v>
      </c>
      <c r="J161" s="135">
        <f>IFERROR(VLOOKUP(C161,'02_TCT GUADAMUR'!$F$6:$T$36,15,FALSE),"")</f>
        <v>6</v>
      </c>
      <c r="K161" s="138">
        <f t="shared" si="28"/>
        <v>6</v>
      </c>
      <c r="L161" s="135"/>
      <c r="M161" s="135"/>
      <c r="N161" s="138"/>
      <c r="O161" s="135"/>
      <c r="P161" s="135"/>
      <c r="Q161" s="138"/>
      <c r="R161" s="135"/>
      <c r="S161" s="135"/>
      <c r="T161" s="138"/>
      <c r="U161" s="135"/>
      <c r="V161" s="135"/>
      <c r="W161" s="138"/>
      <c r="X161" s="139">
        <f t="shared" si="25"/>
        <v>6</v>
      </c>
      <c r="Y161" s="140" t="str">
        <f t="shared" si="26"/>
        <v>No</v>
      </c>
      <c r="Z161" s="141">
        <f t="shared" si="27"/>
        <v>2</v>
      </c>
      <c r="AA161" s="5"/>
      <c r="AB161" s="262" t="str">
        <f>IFERROR(VLOOKUP(C161,Tabla15[[Piloto2]:[Puntos clase5]],4, FALSE), " ")</f>
        <v>2RM</v>
      </c>
      <c r="AC161" s="8">
        <f>COUNTA(C52:C71)+COUNTA(Z256:Z258)+COUNTA(Z281:Z282)+COUNTA(Z304:Z304)</f>
        <v>24</v>
      </c>
      <c r="AD161" s="8">
        <f>COUNTIF($Z$6:$Z$25,AD160)+COUNTIF($Z$217:$Z$219,AD160)+COUNTIF($Z$242:$Z$243,AD160)+COUNTIF($Z$271:$Z$272,AD160)</f>
        <v>9</v>
      </c>
      <c r="AE161" s="8">
        <f>COUNTIF($Z$6:$Z$25,AE160)+COUNTIF($Z$217:$Z$219,AE160)+COUNTIF($Z$242:$Z$243,AE160)+COUNTIF($Z$271:$Z$272,AE160)</f>
        <v>18</v>
      </c>
      <c r="AF161" s="8">
        <f>COUNTIF($Z$6:$Z$25,AF160)+COUNTIF($Z$217:$Z$219,AF160)+COUNTIF($Z$242:$Z$243,AF160)+COUNTIF($Z$271:$Z$272,AF160)</f>
        <v>0</v>
      </c>
      <c r="AG161" s="8">
        <f>COUNTIF($Z$6:$Z$25,AG160)+COUNTIF($Z$217:$Z$219,AG160)+COUNTIF($Z$242:$Z$243,AG160)+COUNTIF($Z$271:$Z$272,AG160)</f>
        <v>0</v>
      </c>
      <c r="AH161" s="8">
        <f>COUNTIF($Z$6:$Z$25,AH160)+COUNTIF($Z$217:$Z$219,AH160)+COUNTIF($Z$242:$Z$243,AH160)+COUNTIF($Z$271:$Z$272,AH160)</f>
        <v>0</v>
      </c>
      <c r="AI161" s="8"/>
      <c r="AJ161" s="8"/>
      <c r="AK161" s="8"/>
      <c r="AL161" s="9"/>
      <c r="AM161" s="8">
        <f>SUM(AD161:AJ161)</f>
        <v>27</v>
      </c>
    </row>
    <row r="162" spans="2:39" ht="12.75" customHeight="1" x14ac:dyDescent="0.3">
      <c r="B162" s="133">
        <v>3</v>
      </c>
      <c r="C162" s="142" t="s">
        <v>677</v>
      </c>
      <c r="D162" s="482">
        <v>4</v>
      </c>
      <c r="E162" s="482">
        <v>2</v>
      </c>
      <c r="F162" s="135"/>
      <c r="G162" s="135"/>
      <c r="H162" s="138"/>
      <c r="I162" s="135">
        <f>IFERROR(VLOOKUP(C162,'02_TCT GUADAMUR'!$F$6:$R$36,13,FALSE),"")</f>
        <v>0</v>
      </c>
      <c r="J162" s="135">
        <f>IFERROR(VLOOKUP(C162,'02_TCT GUADAMUR'!$F$6:$T$36,15,FALSE),"")</f>
        <v>6</v>
      </c>
      <c r="K162" s="138">
        <f t="shared" si="28"/>
        <v>6</v>
      </c>
      <c r="L162" s="135"/>
      <c r="M162" s="135"/>
      <c r="N162" s="138"/>
      <c r="O162" s="135"/>
      <c r="P162" s="135"/>
      <c r="Q162" s="138"/>
      <c r="R162" s="135"/>
      <c r="S162" s="135"/>
      <c r="T162" s="138"/>
      <c r="U162" s="135"/>
      <c r="V162" s="135"/>
      <c r="W162" s="138"/>
      <c r="X162" s="139">
        <f t="shared" si="25"/>
        <v>6</v>
      </c>
      <c r="Y162" s="140" t="str">
        <f t="shared" si="26"/>
        <v>No</v>
      </c>
      <c r="Z162" s="141">
        <f t="shared" si="27"/>
        <v>1</v>
      </c>
      <c r="AA162" s="5"/>
      <c r="AB162" s="262" t="str">
        <f>IFERROR(VLOOKUP(C162,Tabla15[[Piloto2]:[Puntos clase5]],4, FALSE), " ")</f>
        <v xml:space="preserve"> </v>
      </c>
      <c r="AC162" s="31"/>
      <c r="AD162" s="32"/>
      <c r="AE162" s="32"/>
      <c r="AF162" s="32"/>
      <c r="AG162" s="32"/>
      <c r="AH162" s="32"/>
      <c r="AI162" s="32"/>
      <c r="AJ162" s="528" t="s">
        <v>32</v>
      </c>
      <c r="AK162" s="529"/>
      <c r="AL162" s="530"/>
      <c r="AM162" s="33" t="e">
        <f>#REF!/AM161</f>
        <v>#REF!</v>
      </c>
    </row>
    <row r="163" spans="2:39" ht="12.75" customHeight="1" x14ac:dyDescent="0.3">
      <c r="B163" s="133">
        <v>4</v>
      </c>
      <c r="C163" s="142" t="s">
        <v>638</v>
      </c>
      <c r="D163" s="482">
        <v>2</v>
      </c>
      <c r="E163" s="482">
        <v>2</v>
      </c>
      <c r="F163" s="135"/>
      <c r="G163" s="135"/>
      <c r="H163" s="138"/>
      <c r="I163" s="135">
        <f>IFERROR(VLOOKUP(C163,'02_TCT GUADAMUR'!$F$6:$R$36,13,FALSE),"")</f>
        <v>0</v>
      </c>
      <c r="J163" s="135">
        <f>IFERROR(VLOOKUP(C163,'02_TCT GUADAMUR'!$F$6:$T$36,15,FALSE),"")</f>
        <v>5</v>
      </c>
      <c r="K163" s="138">
        <f t="shared" si="28"/>
        <v>5</v>
      </c>
      <c r="L163" s="135"/>
      <c r="M163" s="135"/>
      <c r="N163" s="138"/>
      <c r="O163" s="135"/>
      <c r="P163" s="135"/>
      <c r="Q163" s="138"/>
      <c r="R163" s="135"/>
      <c r="S163" s="135"/>
      <c r="T163" s="138"/>
      <c r="U163" s="135"/>
      <c r="V163" s="135"/>
      <c r="W163" s="138"/>
      <c r="X163" s="139">
        <f t="shared" si="25"/>
        <v>5</v>
      </c>
      <c r="Y163" s="140" t="str">
        <f t="shared" si="26"/>
        <v>No</v>
      </c>
      <c r="Z163" s="141">
        <f t="shared" si="27"/>
        <v>1</v>
      </c>
      <c r="AA163" s="148"/>
      <c r="AB163" s="262" t="str">
        <f>IFERROR(VLOOKUP(C163,Tabla15[[Piloto2]:[Puntos clase5]],4, FALSE), " ")</f>
        <v>2RM</v>
      </c>
    </row>
    <row r="164" spans="2:39" ht="12.75" customHeight="1" x14ac:dyDescent="0.3">
      <c r="B164" s="133">
        <v>11</v>
      </c>
      <c r="C164" s="142" t="s">
        <v>613</v>
      </c>
      <c r="D164" s="482">
        <v>3</v>
      </c>
      <c r="E164" s="482" t="str">
        <f>LEFT(AB164,LEN(AB164)-2)</f>
        <v>2</v>
      </c>
      <c r="F164" s="135">
        <f>IFERROR(VLOOKUP(C164,'01_RS ALCARRIA'!$F$6:$R$36,13,FALSE),"")</f>
        <v>1</v>
      </c>
      <c r="G164" s="135">
        <f>IFERROR(VLOOKUP(C164,'01_RS ALCARRIA'!$F$6:$T$36,15,FALSE),"")</f>
        <v>0</v>
      </c>
      <c r="H164" s="138">
        <f t="shared" ref="H164:H169" si="29">(F164+G164)*2</f>
        <v>2</v>
      </c>
      <c r="I164" s="135" t="str">
        <f>IFERROR(VLOOKUP(C164,'02_TCT GUADAMUR'!$F$6:$R$36,13,FALSE),"")</f>
        <v/>
      </c>
      <c r="J164" s="135" t="str">
        <f>IFERROR(VLOOKUP(C164,'02_TCT GUADAMUR'!$F$6:$T$36,15,FALSE),"")</f>
        <v/>
      </c>
      <c r="K164" s="138"/>
      <c r="L164" s="135"/>
      <c r="M164" s="135"/>
      <c r="N164" s="138"/>
      <c r="O164" s="135"/>
      <c r="P164" s="135"/>
      <c r="Q164" s="138"/>
      <c r="R164" s="135"/>
      <c r="S164" s="135"/>
      <c r="T164" s="138"/>
      <c r="U164" s="135"/>
      <c r="V164" s="135"/>
      <c r="W164" s="138"/>
      <c r="X164" s="139">
        <f t="shared" si="25"/>
        <v>2</v>
      </c>
      <c r="Y164" s="140" t="str">
        <f t="shared" si="26"/>
        <v>No</v>
      </c>
      <c r="Z164" s="141">
        <f t="shared" si="27"/>
        <v>1</v>
      </c>
      <c r="AA164" s="148"/>
      <c r="AB164" s="262" t="str">
        <f>IFERROR(VLOOKUP(C164,Tabla15[[Piloto2]:[Puntos clase5]],4, FALSE), " ")</f>
        <v>2RM</v>
      </c>
    </row>
    <row r="165" spans="2:39" ht="12.75" customHeight="1" x14ac:dyDescent="0.3">
      <c r="B165" s="133" t="s">
        <v>658</v>
      </c>
      <c r="C165" s="142" t="s">
        <v>620</v>
      </c>
      <c r="D165" s="482">
        <v>3</v>
      </c>
      <c r="E165" s="482" t="str">
        <f>LEFT(AB165,LEN(AB165)-2)</f>
        <v>2</v>
      </c>
      <c r="F165" s="135">
        <f>IFERROR(VLOOKUP(C165,'01_RS ALCARRIA'!$F$6:$R$36,13,FALSE),"")</f>
        <v>0</v>
      </c>
      <c r="G165" s="135">
        <f>IFERROR(VLOOKUP(C165,'01_RS ALCARRIA'!$F$6:$T$36,15,FALSE),"")</f>
        <v>0</v>
      </c>
      <c r="H165" s="138">
        <f t="shared" si="29"/>
        <v>0</v>
      </c>
      <c r="I165" s="135"/>
      <c r="J165" s="135"/>
      <c r="K165" s="138"/>
      <c r="L165" s="135"/>
      <c r="M165" s="135"/>
      <c r="N165" s="138"/>
      <c r="O165" s="135"/>
      <c r="P165" s="135"/>
      <c r="Q165" s="138"/>
      <c r="R165" s="135"/>
      <c r="S165" s="135"/>
      <c r="T165" s="138"/>
      <c r="U165" s="135"/>
      <c r="V165" s="135"/>
      <c r="W165" s="138"/>
      <c r="X165" s="139">
        <f t="shared" si="25"/>
        <v>0</v>
      </c>
      <c r="Y165" s="140" t="str">
        <f t="shared" si="26"/>
        <v>No</v>
      </c>
      <c r="Z165" s="141">
        <f t="shared" si="27"/>
        <v>1</v>
      </c>
      <c r="AA165" s="148"/>
      <c r="AB165" s="262" t="str">
        <f>IFERROR(VLOOKUP(C165,Tabla15[[Piloto2]:[Puntos clase5]],4, FALSE), " ")</f>
        <v>2RM</v>
      </c>
    </row>
    <row r="166" spans="2:39" ht="12.75" customHeight="1" x14ac:dyDescent="0.3">
      <c r="B166" s="133" t="s">
        <v>658</v>
      </c>
      <c r="C166" s="142" t="s">
        <v>629</v>
      </c>
      <c r="D166" s="482">
        <v>2</v>
      </c>
      <c r="E166" s="482" t="str">
        <f>LEFT(AB166,LEN(AB166)-2)</f>
        <v>2</v>
      </c>
      <c r="F166" s="135">
        <v>0</v>
      </c>
      <c r="G166" s="135">
        <v>0</v>
      </c>
      <c r="H166" s="138">
        <f t="shared" si="29"/>
        <v>0</v>
      </c>
      <c r="I166" s="135">
        <v>0</v>
      </c>
      <c r="J166" s="135">
        <v>0</v>
      </c>
      <c r="K166" s="138">
        <f>(I166+J166)</f>
        <v>0</v>
      </c>
      <c r="L166" s="135"/>
      <c r="M166" s="135"/>
      <c r="N166" s="138"/>
      <c r="O166" s="135"/>
      <c r="P166" s="135"/>
      <c r="Q166" s="138"/>
      <c r="R166" s="135"/>
      <c r="S166" s="135"/>
      <c r="T166" s="138"/>
      <c r="U166" s="135"/>
      <c r="V166" s="135"/>
      <c r="W166" s="138"/>
      <c r="X166" s="139">
        <f t="shared" si="25"/>
        <v>0</v>
      </c>
      <c r="Y166" s="140" t="str">
        <f t="shared" si="26"/>
        <v>No</v>
      </c>
      <c r="Z166" s="141">
        <f t="shared" si="27"/>
        <v>2</v>
      </c>
      <c r="AA166" s="148"/>
      <c r="AB166" s="262" t="str">
        <f>IFERROR(VLOOKUP(C166,Tabla15[[Piloto2]:[Puntos clase5]],4, FALSE), " ")</f>
        <v>2RM</v>
      </c>
    </row>
    <row r="167" spans="2:39" ht="12.75" customHeight="1" x14ac:dyDescent="0.3">
      <c r="B167" s="133" t="s">
        <v>658</v>
      </c>
      <c r="C167" s="142" t="s">
        <v>633</v>
      </c>
      <c r="D167" s="482">
        <v>3</v>
      </c>
      <c r="E167" s="482">
        <v>2</v>
      </c>
      <c r="F167" s="135">
        <v>0</v>
      </c>
      <c r="G167" s="135">
        <v>0</v>
      </c>
      <c r="H167" s="138">
        <f t="shared" si="29"/>
        <v>0</v>
      </c>
      <c r="I167" s="135"/>
      <c r="J167" s="135"/>
      <c r="K167" s="138"/>
      <c r="L167" s="135"/>
      <c r="M167" s="135"/>
      <c r="N167" s="138"/>
      <c r="O167" s="135"/>
      <c r="P167" s="135"/>
      <c r="Q167" s="138"/>
      <c r="R167" s="135"/>
      <c r="S167" s="135"/>
      <c r="T167" s="138"/>
      <c r="U167" s="135"/>
      <c r="V167" s="135"/>
      <c r="W167" s="138"/>
      <c r="X167" s="139">
        <f t="shared" si="25"/>
        <v>0</v>
      </c>
      <c r="Y167" s="140" t="str">
        <f t="shared" si="26"/>
        <v>No</v>
      </c>
      <c r="Z167" s="141">
        <f t="shared" si="27"/>
        <v>1</v>
      </c>
      <c r="AA167" s="148"/>
      <c r="AB167" s="262" t="str">
        <f>IFERROR(VLOOKUP(C167,Tabla15[[Piloto2]:[Puntos clase5]],4, FALSE), " ")</f>
        <v>2RM</v>
      </c>
    </row>
    <row r="168" spans="2:39" ht="12.75" customHeight="1" x14ac:dyDescent="0.3">
      <c r="B168" s="133" t="s">
        <v>658</v>
      </c>
      <c r="C168" s="134" t="s">
        <v>636</v>
      </c>
      <c r="D168" s="482">
        <v>5</v>
      </c>
      <c r="E168" s="482" t="str">
        <f>LEFT(AB168,LEN(AB168)-2)</f>
        <v>2</v>
      </c>
      <c r="F168" s="135">
        <v>0</v>
      </c>
      <c r="G168" s="135">
        <v>0</v>
      </c>
      <c r="H168" s="138">
        <f t="shared" si="29"/>
        <v>0</v>
      </c>
      <c r="I168" s="135"/>
      <c r="J168" s="135"/>
      <c r="K168" s="138"/>
      <c r="L168" s="135"/>
      <c r="M168" s="135"/>
      <c r="N168" s="138"/>
      <c r="O168" s="135"/>
      <c r="P168" s="135"/>
      <c r="Q168" s="138"/>
      <c r="R168" s="135"/>
      <c r="S168" s="135"/>
      <c r="T168" s="138"/>
      <c r="U168" s="135"/>
      <c r="V168" s="135"/>
      <c r="W168" s="138"/>
      <c r="X168" s="139">
        <f t="shared" si="25"/>
        <v>0</v>
      </c>
      <c r="Y168" s="140" t="str">
        <f t="shared" si="26"/>
        <v>No</v>
      </c>
      <c r="Z168" s="141">
        <f t="shared" si="27"/>
        <v>1</v>
      </c>
      <c r="AA168" s="148"/>
      <c r="AB168" s="262" t="str">
        <f>IFERROR(VLOOKUP(C168,Tabla15[[Piloto2]:[Puntos clase5]],4, FALSE), " ")</f>
        <v>2RM</v>
      </c>
    </row>
    <row r="169" spans="2:39" ht="12.75" customHeight="1" x14ac:dyDescent="0.3">
      <c r="B169" s="133" t="s">
        <v>658</v>
      </c>
      <c r="C169" s="134" t="s">
        <v>638</v>
      </c>
      <c r="D169" s="482">
        <v>4</v>
      </c>
      <c r="E169" s="482" t="str">
        <f>LEFT(AB169,LEN(AB169)-2)</f>
        <v>2</v>
      </c>
      <c r="F169" s="135">
        <v>0</v>
      </c>
      <c r="G169" s="135">
        <v>0</v>
      </c>
      <c r="H169" s="138">
        <f t="shared" si="29"/>
        <v>0</v>
      </c>
      <c r="I169" s="135"/>
      <c r="J169" s="135"/>
      <c r="K169" s="138"/>
      <c r="L169" s="135"/>
      <c r="M169" s="135"/>
      <c r="N169" s="138"/>
      <c r="O169" s="135"/>
      <c r="P169" s="135"/>
      <c r="Q169" s="138"/>
      <c r="R169" s="135"/>
      <c r="S169" s="135"/>
      <c r="T169" s="138"/>
      <c r="U169" s="135"/>
      <c r="V169" s="135"/>
      <c r="W169" s="138"/>
      <c r="X169" s="139">
        <f t="shared" si="25"/>
        <v>0</v>
      </c>
      <c r="Y169" s="140" t="str">
        <f t="shared" si="26"/>
        <v>No</v>
      </c>
      <c r="Z169" s="141">
        <f t="shared" si="27"/>
        <v>1</v>
      </c>
      <c r="AA169" s="148"/>
      <c r="AB169" s="262" t="str">
        <f>IFERROR(VLOOKUP(C169,Tabla15[[Piloto2]:[Puntos clase5]],4, FALSE), " ")</f>
        <v>2RM</v>
      </c>
    </row>
    <row r="170" spans="2:39" ht="12.75" customHeight="1" x14ac:dyDescent="0.3">
      <c r="B170" s="133" t="s">
        <v>658</v>
      </c>
      <c r="C170" s="142" t="s">
        <v>458</v>
      </c>
      <c r="D170" s="482">
        <v>1</v>
      </c>
      <c r="E170" s="482">
        <v>4</v>
      </c>
      <c r="F170" s="135"/>
      <c r="G170" s="135"/>
      <c r="H170" s="138"/>
      <c r="I170" s="135">
        <v>0</v>
      </c>
      <c r="J170" s="135">
        <v>0</v>
      </c>
      <c r="K170" s="138">
        <f>(I170+J170)</f>
        <v>0</v>
      </c>
      <c r="L170" s="135"/>
      <c r="M170" s="135"/>
      <c r="N170" s="138"/>
      <c r="O170" s="135"/>
      <c r="P170" s="135"/>
      <c r="Q170" s="138"/>
      <c r="R170" s="135"/>
      <c r="S170" s="135"/>
      <c r="T170" s="138"/>
      <c r="U170" s="135"/>
      <c r="V170" s="135"/>
      <c r="W170" s="138"/>
      <c r="X170" s="139">
        <f t="shared" si="25"/>
        <v>0</v>
      </c>
      <c r="Y170" s="140" t="str">
        <f t="shared" si="26"/>
        <v>No</v>
      </c>
      <c r="Z170" s="141">
        <f t="shared" si="27"/>
        <v>1</v>
      </c>
      <c r="AA170" s="148"/>
      <c r="AB170" s="262" t="str">
        <f>IFERROR(VLOOKUP(C170,Tabla15[[Piloto2]:[Puntos clase5]],4, FALSE), " ")</f>
        <v xml:space="preserve"> </v>
      </c>
    </row>
    <row r="171" spans="2:39" ht="12.75" customHeight="1" x14ac:dyDescent="0.3">
      <c r="B171" s="133" t="s">
        <v>658</v>
      </c>
      <c r="C171" s="142" t="s">
        <v>679</v>
      </c>
      <c r="D171" s="482">
        <v>1</v>
      </c>
      <c r="E171" s="482">
        <v>4</v>
      </c>
      <c r="F171" s="135"/>
      <c r="G171" s="135"/>
      <c r="H171" s="138"/>
      <c r="I171" s="135">
        <v>0</v>
      </c>
      <c r="J171" s="135">
        <v>0</v>
      </c>
      <c r="K171" s="138">
        <f>(I171+J171)</f>
        <v>0</v>
      </c>
      <c r="L171" s="135"/>
      <c r="M171" s="135"/>
      <c r="N171" s="138"/>
      <c r="O171" s="135"/>
      <c r="P171" s="135"/>
      <c r="Q171" s="138"/>
      <c r="R171" s="135"/>
      <c r="S171" s="135"/>
      <c r="T171" s="138"/>
      <c r="U171" s="135"/>
      <c r="V171" s="135"/>
      <c r="W171" s="138"/>
      <c r="X171" s="139">
        <f t="shared" si="25"/>
        <v>0</v>
      </c>
      <c r="Y171" s="140" t="str">
        <f t="shared" si="26"/>
        <v>No</v>
      </c>
      <c r="Z171" s="141">
        <f t="shared" si="27"/>
        <v>1</v>
      </c>
      <c r="AA171" s="148"/>
      <c r="AB171" s="262" t="str">
        <f>IFERROR(VLOOKUP(C171,Tabla15[[Piloto2]:[Puntos clase5]],4, FALSE), " ")</f>
        <v xml:space="preserve"> </v>
      </c>
    </row>
    <row r="172" spans="2:39" ht="12.75" customHeight="1" x14ac:dyDescent="0.3">
      <c r="B172" s="133" t="s">
        <v>658</v>
      </c>
      <c r="C172" s="142" t="s">
        <v>681</v>
      </c>
      <c r="D172" s="482">
        <v>3</v>
      </c>
      <c r="E172" s="482">
        <v>2</v>
      </c>
      <c r="F172" s="135"/>
      <c r="G172" s="135"/>
      <c r="H172" s="138"/>
      <c r="I172" s="135">
        <v>0</v>
      </c>
      <c r="J172" s="135">
        <v>0</v>
      </c>
      <c r="K172" s="138">
        <f>(I172+J172)</f>
        <v>0</v>
      </c>
      <c r="L172" s="135"/>
      <c r="M172" s="135"/>
      <c r="N172" s="138"/>
      <c r="O172" s="135"/>
      <c r="P172" s="135"/>
      <c r="Q172" s="138"/>
      <c r="R172" s="135"/>
      <c r="S172" s="135"/>
      <c r="T172" s="138"/>
      <c r="U172" s="135"/>
      <c r="V172" s="135"/>
      <c r="W172" s="138"/>
      <c r="X172" s="139">
        <f t="shared" si="25"/>
        <v>0</v>
      </c>
      <c r="Y172" s="140" t="str">
        <f t="shared" si="26"/>
        <v>No</v>
      </c>
      <c r="Z172" s="141">
        <f t="shared" si="27"/>
        <v>1</v>
      </c>
      <c r="AA172" s="148"/>
      <c r="AB172" s="262" t="str">
        <f>IFERROR(VLOOKUP(C172,Tabla15[[Piloto2]:[Puntos clase5]],4, FALSE), " ")</f>
        <v xml:space="preserve"> </v>
      </c>
    </row>
    <row r="173" spans="2:39" ht="12.75" customHeight="1" x14ac:dyDescent="0.3">
      <c r="B173" s="133" t="s">
        <v>658</v>
      </c>
      <c r="C173" s="142" t="s">
        <v>684</v>
      </c>
      <c r="D173" s="482">
        <v>4</v>
      </c>
      <c r="E173" s="482">
        <v>2</v>
      </c>
      <c r="F173" s="135"/>
      <c r="G173" s="135"/>
      <c r="H173" s="138"/>
      <c r="I173" s="135">
        <v>0</v>
      </c>
      <c r="J173" s="135">
        <v>0</v>
      </c>
      <c r="K173" s="138">
        <f>(I173+J173)</f>
        <v>0</v>
      </c>
      <c r="L173" s="135"/>
      <c r="M173" s="135"/>
      <c r="N173" s="138"/>
      <c r="O173" s="135"/>
      <c r="P173" s="135"/>
      <c r="Q173" s="138"/>
      <c r="R173" s="135"/>
      <c r="S173" s="135"/>
      <c r="T173" s="138"/>
      <c r="U173" s="135"/>
      <c r="V173" s="135"/>
      <c r="W173" s="138"/>
      <c r="X173" s="139">
        <f t="shared" si="25"/>
        <v>0</v>
      </c>
      <c r="Y173" s="140" t="str">
        <f t="shared" si="26"/>
        <v>No</v>
      </c>
      <c r="Z173" s="141">
        <f t="shared" si="27"/>
        <v>1</v>
      </c>
      <c r="AA173" s="148"/>
      <c r="AB173" s="262" t="str">
        <f>IFERROR(VLOOKUP(C173,Tabla15[[Piloto2]:[Puntos clase5]],4, FALSE), " ")</f>
        <v xml:space="preserve"> </v>
      </c>
    </row>
    <row r="174" spans="2:39" ht="12" x14ac:dyDescent="0.3">
      <c r="B174" s="155"/>
      <c r="C174" s="236"/>
      <c r="D174" s="155"/>
      <c r="E174" s="155"/>
      <c r="F174" s="147"/>
      <c r="G174" s="147"/>
      <c r="H174" s="147"/>
      <c r="I174" s="147"/>
      <c r="J174" s="147"/>
      <c r="K174" s="147"/>
      <c r="L174" s="147"/>
      <c r="M174" s="147"/>
      <c r="N174" s="147"/>
      <c r="O174" s="147"/>
      <c r="P174" s="147"/>
      <c r="Q174" s="147"/>
      <c r="R174" s="147"/>
      <c r="S174" s="147"/>
      <c r="T174" s="147"/>
      <c r="U174" s="147"/>
      <c r="V174" s="147"/>
      <c r="W174" s="147"/>
      <c r="X174" s="147"/>
      <c r="Y174" s="147"/>
      <c r="Z174" s="7"/>
      <c r="AA174" s="7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</row>
    <row r="175" spans="2:39" ht="12" x14ac:dyDescent="0.3">
      <c r="B175" s="155"/>
      <c r="C175" s="235"/>
      <c r="D175" s="228" t="s">
        <v>6</v>
      </c>
      <c r="E175" s="347" t="s">
        <v>5</v>
      </c>
      <c r="F175" s="147"/>
      <c r="G175" s="147"/>
      <c r="H175" s="147"/>
      <c r="I175" s="147"/>
      <c r="J175" s="147"/>
      <c r="K175" s="147"/>
      <c r="L175" s="147"/>
      <c r="M175" s="147"/>
      <c r="N175" s="147"/>
      <c r="O175" s="147"/>
      <c r="P175" s="147"/>
      <c r="Q175" s="147"/>
      <c r="R175" s="147"/>
      <c r="S175" s="147"/>
      <c r="T175" s="147"/>
      <c r="U175" s="147"/>
      <c r="V175" s="147"/>
      <c r="W175" s="147"/>
      <c r="X175" s="147"/>
      <c r="Y175" s="147"/>
      <c r="Z175" s="7"/>
      <c r="AA175" s="7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</row>
    <row r="176" spans="2:39" ht="3.65" customHeight="1" thickBot="1" x14ac:dyDescent="0.35">
      <c r="B176" s="155"/>
      <c r="C176" s="235"/>
      <c r="D176" s="146"/>
      <c r="E176" s="347"/>
      <c r="F176" s="147"/>
      <c r="G176" s="147"/>
      <c r="H176" s="147"/>
      <c r="I176" s="147"/>
      <c r="J176" s="147"/>
      <c r="K176" s="147"/>
      <c r="L176" s="147"/>
      <c r="M176" s="147"/>
      <c r="N176" s="147"/>
      <c r="O176" s="147"/>
      <c r="P176" s="147"/>
      <c r="Q176" s="147"/>
      <c r="R176" s="147"/>
      <c r="S176" s="147"/>
      <c r="T176" s="147"/>
      <c r="U176" s="147"/>
      <c r="V176" s="147"/>
      <c r="W176" s="147"/>
      <c r="X176" s="147"/>
      <c r="Y176" s="147"/>
      <c r="Z176" s="7"/>
      <c r="AA176" s="7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</row>
    <row r="177" spans="2:39" ht="12.5" thickBot="1" x14ac:dyDescent="0.35">
      <c r="B177" s="155"/>
      <c r="C177" s="235"/>
      <c r="D177" s="233">
        <v>2</v>
      </c>
      <c r="E177" s="347" t="s">
        <v>7</v>
      </c>
      <c r="F177" s="147"/>
      <c r="G177" s="147"/>
      <c r="H177" s="147"/>
      <c r="I177" s="147"/>
      <c r="J177" s="147"/>
      <c r="K177" s="147"/>
      <c r="L177" s="147"/>
      <c r="M177" s="147"/>
      <c r="N177" s="147"/>
      <c r="O177" s="147"/>
      <c r="P177" s="147"/>
      <c r="Q177" s="147"/>
      <c r="R177" s="147"/>
      <c r="S177" s="147"/>
      <c r="T177" s="147"/>
      <c r="U177" s="147"/>
      <c r="V177" s="147"/>
      <c r="W177" s="147"/>
      <c r="X177" s="147"/>
      <c r="Y177" s="147"/>
      <c r="Z177" s="7"/>
      <c r="AA177" s="7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</row>
    <row r="178" spans="2:39" ht="3.65" customHeight="1" x14ac:dyDescent="0.3">
      <c r="B178" s="155"/>
      <c r="C178" s="236"/>
      <c r="D178" s="155"/>
      <c r="E178" s="155"/>
      <c r="F178" s="147"/>
      <c r="G178" s="147"/>
      <c r="H178" s="147"/>
      <c r="I178" s="147"/>
      <c r="J178" s="147"/>
      <c r="K178" s="147"/>
      <c r="L178" s="147"/>
      <c r="M178" s="147"/>
      <c r="N178" s="147"/>
      <c r="O178" s="147"/>
      <c r="P178" s="147"/>
      <c r="Q178" s="147"/>
      <c r="R178" s="147"/>
      <c r="S178" s="147"/>
      <c r="T178" s="147"/>
      <c r="U178" s="147"/>
      <c r="V178" s="147"/>
      <c r="W178" s="147"/>
      <c r="X178" s="147"/>
      <c r="Y178" s="147"/>
      <c r="Z178" s="7"/>
      <c r="AA178" s="7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</row>
    <row r="179" spans="2:39" ht="12" x14ac:dyDescent="0.3">
      <c r="B179" s="155"/>
      <c r="C179" s="235"/>
      <c r="D179" s="284"/>
      <c r="E179" s="285" t="s">
        <v>534</v>
      </c>
      <c r="F179" s="147"/>
      <c r="G179" s="147"/>
      <c r="H179" s="147"/>
      <c r="I179" s="147"/>
      <c r="J179" s="147"/>
      <c r="K179" s="147"/>
      <c r="L179" s="147"/>
      <c r="M179" s="147"/>
      <c r="N179" s="147"/>
      <c r="O179" s="147"/>
      <c r="P179" s="147"/>
      <c r="Q179" s="147"/>
      <c r="R179" s="147"/>
      <c r="S179" s="147"/>
      <c r="T179" s="147"/>
      <c r="U179" s="147"/>
      <c r="V179" s="147"/>
      <c r="W179" s="147"/>
      <c r="X179" s="147"/>
      <c r="Y179" s="147"/>
      <c r="Z179" s="7"/>
      <c r="AA179" s="7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</row>
    <row r="180" spans="2:39" ht="3" customHeight="1" x14ac:dyDescent="0.3">
      <c r="B180" s="155"/>
      <c r="C180" s="235"/>
      <c r="D180" s="239"/>
      <c r="E180" s="120"/>
      <c r="F180" s="147"/>
      <c r="G180" s="147"/>
      <c r="H180" s="147"/>
      <c r="I180" s="147"/>
      <c r="J180" s="147"/>
      <c r="K180" s="147"/>
      <c r="L180" s="147"/>
      <c r="M180" s="147"/>
      <c r="N180" s="147"/>
      <c r="O180" s="147"/>
      <c r="P180" s="147"/>
      <c r="Q180" s="147"/>
      <c r="R180" s="147"/>
      <c r="S180" s="147"/>
      <c r="T180" s="147"/>
      <c r="U180" s="147"/>
      <c r="V180" s="147"/>
      <c r="W180" s="147"/>
      <c r="X180" s="147"/>
      <c r="Y180" s="147"/>
      <c r="Z180" s="7"/>
      <c r="AA180" s="7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</row>
    <row r="181" spans="2:39" ht="12" x14ac:dyDescent="0.3">
      <c r="B181" s="155"/>
      <c r="C181" s="236"/>
      <c r="D181" s="142" t="s">
        <v>691</v>
      </c>
      <c r="E181" s="130" t="s">
        <v>693</v>
      </c>
      <c r="F181" s="147"/>
      <c r="G181" s="147"/>
      <c r="H181" s="147"/>
      <c r="I181" s="147"/>
      <c r="J181" s="147"/>
      <c r="K181" s="147"/>
      <c r="L181" s="147"/>
      <c r="M181" s="147"/>
      <c r="N181" s="147"/>
      <c r="O181" s="147"/>
      <c r="P181" s="147"/>
      <c r="Q181" s="147"/>
      <c r="R181" s="147"/>
      <c r="S181" s="147"/>
      <c r="T181" s="147"/>
      <c r="U181" s="147"/>
      <c r="V181" s="147"/>
      <c r="W181" s="147"/>
      <c r="X181" s="147"/>
      <c r="Y181" s="147"/>
      <c r="Z181" s="7"/>
      <c r="AA181" s="7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</row>
    <row r="182" spans="2:39" ht="12" x14ac:dyDescent="0.3">
      <c r="B182" s="155"/>
      <c r="C182" s="236"/>
      <c r="D182" s="155"/>
      <c r="E182" s="155"/>
      <c r="F182" s="147"/>
      <c r="G182" s="147"/>
      <c r="H182" s="147"/>
      <c r="I182" s="147"/>
      <c r="J182" s="147"/>
      <c r="K182" s="147"/>
      <c r="L182" s="147"/>
      <c r="M182" s="147"/>
      <c r="N182" s="147"/>
      <c r="O182" s="147"/>
      <c r="P182" s="147"/>
      <c r="Q182" s="147"/>
      <c r="R182" s="147"/>
      <c r="S182" s="147"/>
      <c r="T182" s="147"/>
      <c r="U182" s="147"/>
      <c r="V182" s="147"/>
      <c r="W182" s="147"/>
      <c r="X182" s="147"/>
      <c r="Y182" s="147"/>
      <c r="Z182" s="7"/>
      <c r="AA182" s="7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</row>
    <row r="183" spans="2:39" ht="12" x14ac:dyDescent="0.3">
      <c r="B183" s="155"/>
      <c r="C183" s="236"/>
      <c r="D183" s="155"/>
      <c r="E183" s="155"/>
      <c r="F183" s="147"/>
      <c r="G183" s="147"/>
      <c r="H183" s="147"/>
      <c r="I183" s="147"/>
      <c r="J183" s="147"/>
      <c r="K183" s="147"/>
      <c r="L183" s="147"/>
      <c r="M183" s="147"/>
      <c r="N183" s="147"/>
      <c r="O183" s="147"/>
      <c r="P183" s="147"/>
      <c r="Q183" s="147"/>
      <c r="R183" s="147"/>
      <c r="S183" s="147"/>
      <c r="T183" s="147"/>
      <c r="U183" s="147"/>
      <c r="V183" s="147"/>
      <c r="W183" s="147"/>
      <c r="X183" s="147"/>
      <c r="Y183" s="147"/>
      <c r="Z183" s="7"/>
      <c r="AA183" s="7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</row>
    <row r="184" spans="2:39" ht="12" x14ac:dyDescent="0.3">
      <c r="B184" s="155"/>
      <c r="C184" s="236"/>
      <c r="D184" s="155"/>
      <c r="E184" s="155"/>
      <c r="F184" s="147"/>
      <c r="G184" s="147"/>
      <c r="H184" s="147"/>
      <c r="I184" s="147"/>
      <c r="J184" s="147"/>
      <c r="K184" s="147"/>
      <c r="L184" s="147"/>
      <c r="M184" s="147"/>
      <c r="N184" s="147"/>
      <c r="O184" s="147"/>
      <c r="P184" s="147"/>
      <c r="Q184" s="147"/>
      <c r="R184" s="147"/>
      <c r="S184" s="147"/>
      <c r="T184" s="147"/>
      <c r="U184" s="147"/>
      <c r="V184" s="147"/>
      <c r="W184" s="147"/>
      <c r="X184" s="147"/>
      <c r="Y184" s="147"/>
      <c r="Z184" s="7"/>
      <c r="AA184" s="7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</row>
    <row r="185" spans="2:39" ht="12" x14ac:dyDescent="0.3">
      <c r="B185" s="155"/>
      <c r="C185" s="236"/>
      <c r="D185" s="155"/>
      <c r="E185" s="155"/>
      <c r="F185" s="147"/>
      <c r="G185" s="147"/>
      <c r="H185" s="147"/>
      <c r="I185" s="147"/>
      <c r="J185" s="147"/>
      <c r="K185" s="147"/>
      <c r="L185" s="147"/>
      <c r="M185" s="147"/>
      <c r="N185" s="147"/>
      <c r="O185" s="147"/>
      <c r="P185" s="147"/>
      <c r="Q185" s="147"/>
      <c r="R185" s="147"/>
      <c r="S185" s="147"/>
      <c r="T185" s="147"/>
      <c r="U185" s="147"/>
      <c r="V185" s="147"/>
      <c r="W185" s="147"/>
      <c r="X185" s="147"/>
      <c r="Y185" s="147"/>
      <c r="Z185" s="7"/>
      <c r="AA185" s="7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</row>
    <row r="186" spans="2:39" ht="37.5" customHeight="1" x14ac:dyDescent="0.55000000000000004">
      <c r="B186" s="527" t="s">
        <v>553</v>
      </c>
      <c r="C186" s="527"/>
      <c r="D186" s="527"/>
      <c r="E186" s="527"/>
      <c r="F186" s="527"/>
      <c r="G186" s="527"/>
      <c r="H186" s="527"/>
      <c r="I186" s="527"/>
      <c r="J186" s="527"/>
      <c r="K186" s="527"/>
      <c r="L186" s="527"/>
      <c r="M186" s="527"/>
      <c r="N186" s="527"/>
      <c r="O186" s="527"/>
      <c r="P186" s="527"/>
      <c r="Q186" s="527"/>
      <c r="R186" s="527"/>
      <c r="S186" s="527"/>
      <c r="T186" s="527"/>
      <c r="U186" s="527"/>
      <c r="V186" s="527"/>
      <c r="W186" s="527"/>
      <c r="X186" s="461"/>
      <c r="Y186" s="147"/>
      <c r="Z186" s="7"/>
      <c r="AA186" s="7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</row>
    <row r="187" spans="2:39" ht="33" customHeight="1" x14ac:dyDescent="0.3">
      <c r="B187" s="531" t="s">
        <v>224</v>
      </c>
      <c r="C187" s="531"/>
      <c r="D187" s="531"/>
      <c r="E187" s="531"/>
      <c r="F187" s="531"/>
      <c r="G187" s="531"/>
      <c r="H187" s="531"/>
      <c r="I187" s="531"/>
      <c r="J187" s="531"/>
      <c r="K187" s="531"/>
      <c r="L187" s="531"/>
      <c r="M187" s="531"/>
      <c r="N187" s="531"/>
      <c r="O187" s="531"/>
      <c r="P187" s="531"/>
      <c r="Q187" s="531"/>
      <c r="R187" s="531"/>
      <c r="S187" s="531"/>
      <c r="T187" s="531"/>
      <c r="U187" s="531"/>
      <c r="V187" s="531"/>
      <c r="W187" s="531"/>
      <c r="X187" s="167"/>
      <c r="Y187" s="147"/>
      <c r="Z187" s="7"/>
      <c r="AA187" s="7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</row>
    <row r="188" spans="2:39" ht="15.5" x14ac:dyDescent="0.3">
      <c r="B188" s="162"/>
      <c r="C188" s="168"/>
      <c r="D188" s="161"/>
      <c r="E188" s="161"/>
      <c r="F188" s="222" t="s">
        <v>220</v>
      </c>
      <c r="G188" s="223"/>
      <c r="H188" s="224"/>
      <c r="I188" s="222" t="s">
        <v>663</v>
      </c>
      <c r="J188" s="225"/>
      <c r="K188" s="226"/>
      <c r="L188" s="222" t="s">
        <v>532</v>
      </c>
      <c r="M188" s="225"/>
      <c r="N188" s="226"/>
      <c r="O188" s="222" t="s">
        <v>526</v>
      </c>
      <c r="P188" s="225"/>
      <c r="Q188" s="226"/>
      <c r="R188" s="222" t="s">
        <v>287</v>
      </c>
      <c r="S188" s="225"/>
      <c r="T188" s="226"/>
      <c r="U188" s="413" t="s">
        <v>527</v>
      </c>
      <c r="V188" s="226"/>
      <c r="W188" s="226"/>
      <c r="X188" s="161" t="s">
        <v>213</v>
      </c>
      <c r="Y188" s="147"/>
      <c r="Z188" s="7"/>
      <c r="AA188" s="7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</row>
    <row r="189" spans="2:39" ht="15.5" x14ac:dyDescent="0.3">
      <c r="B189" s="159" t="s">
        <v>0</v>
      </c>
      <c r="C189" s="170" t="s">
        <v>1</v>
      </c>
      <c r="D189" s="160" t="s">
        <v>2</v>
      </c>
      <c r="E189" s="160" t="s">
        <v>3</v>
      </c>
      <c r="F189" s="217" t="s">
        <v>523</v>
      </c>
      <c r="G189" s="218"/>
      <c r="H189" s="219"/>
      <c r="I189" s="217" t="s">
        <v>525</v>
      </c>
      <c r="J189" s="220"/>
      <c r="K189" s="221"/>
      <c r="L189" s="217" t="s">
        <v>664</v>
      </c>
      <c r="M189" s="220"/>
      <c r="N189" s="221"/>
      <c r="O189" s="217" t="s">
        <v>529</v>
      </c>
      <c r="P189" s="220"/>
      <c r="Q189" s="221"/>
      <c r="R189" s="217" t="s">
        <v>530</v>
      </c>
      <c r="S189" s="220"/>
      <c r="T189" s="221"/>
      <c r="U189" s="414" t="s">
        <v>528</v>
      </c>
      <c r="V189" s="255"/>
      <c r="W189" s="415"/>
      <c r="X189" s="160" t="s">
        <v>9</v>
      </c>
      <c r="Y189" s="147"/>
      <c r="Z189" s="7"/>
      <c r="AA189" s="7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</row>
    <row r="190" spans="2:39" ht="13" x14ac:dyDescent="0.3">
      <c r="B190" s="163"/>
      <c r="C190" s="501"/>
      <c r="D190" s="157"/>
      <c r="E190" s="157"/>
      <c r="F190" s="131" t="s">
        <v>33</v>
      </c>
      <c r="G190" s="131" t="s">
        <v>34</v>
      </c>
      <c r="H190" s="132" t="s">
        <v>35</v>
      </c>
      <c r="I190" s="131" t="s">
        <v>33</v>
      </c>
      <c r="J190" s="131" t="s">
        <v>34</v>
      </c>
      <c r="K190" s="132" t="s">
        <v>35</v>
      </c>
      <c r="L190" s="131" t="s">
        <v>33</v>
      </c>
      <c r="M190" s="131" t="s">
        <v>34</v>
      </c>
      <c r="N190" s="132" t="s">
        <v>35</v>
      </c>
      <c r="O190" s="131" t="s">
        <v>33</v>
      </c>
      <c r="P190" s="131" t="s">
        <v>34</v>
      </c>
      <c r="Q190" s="132" t="s">
        <v>35</v>
      </c>
      <c r="R190" s="131" t="s">
        <v>33</v>
      </c>
      <c r="S190" s="131" t="s">
        <v>34</v>
      </c>
      <c r="T190" s="132" t="s">
        <v>35</v>
      </c>
      <c r="U190" s="131" t="s">
        <v>33</v>
      </c>
      <c r="V190" s="131" t="s">
        <v>34</v>
      </c>
      <c r="W190" s="132" t="s">
        <v>35</v>
      </c>
      <c r="X190" s="157"/>
      <c r="Y190" s="147"/>
      <c r="Z190" s="7"/>
      <c r="AA190" s="7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</row>
    <row r="191" spans="2:39" ht="13" x14ac:dyDescent="0.3">
      <c r="B191" s="499">
        <v>1</v>
      </c>
      <c r="C191" s="509" t="s">
        <v>597</v>
      </c>
      <c r="D191" s="500">
        <v>5</v>
      </c>
      <c r="E191" s="137"/>
      <c r="F191" s="135">
        <f>IFERROR(VLOOKUP(C191,'01_RS ALCARRIA'!$D$6:$M$36,10,FALSE),"")</f>
        <v>4</v>
      </c>
      <c r="G191" s="135">
        <f>IFERROR(VLOOKUP(C191,'01_RS ALCARRIA'!$D$6:$O$36,12,FALSE),"")</f>
        <v>10</v>
      </c>
      <c r="H191" s="138">
        <f t="shared" ref="H191:H194" si="30">(F191+G191)*2</f>
        <v>28</v>
      </c>
      <c r="I191" s="135">
        <f>IFERROR(VLOOKUP(C191,'02_TCT GUADAMUR'!$D$6:$M$36,10,FALSE),"")</f>
        <v>8</v>
      </c>
      <c r="J191" s="135">
        <f>IFERROR(VLOOKUP(C191,'02_TCT GUADAMUR'!$D$6:$O$36,12,FALSE),"")</f>
        <v>10</v>
      </c>
      <c r="K191" s="138">
        <f t="shared" ref="K191:K193" si="31">(I191+J191)</f>
        <v>18</v>
      </c>
      <c r="L191" s="135"/>
      <c r="M191" s="135"/>
      <c r="N191" s="138"/>
      <c r="O191" s="135"/>
      <c r="P191" s="135"/>
      <c r="Q191" s="138"/>
      <c r="R191" s="135"/>
      <c r="S191" s="135"/>
      <c r="T191" s="138"/>
      <c r="U191" s="135"/>
      <c r="V191" s="135"/>
      <c r="W191" s="138"/>
      <c r="X191" s="139">
        <f>H191+K191+N191+Q191+T191+W191</f>
        <v>46</v>
      </c>
      <c r="Y191" s="147"/>
      <c r="Z191" s="7"/>
      <c r="AA191" s="7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</row>
    <row r="192" spans="2:39" ht="13" x14ac:dyDescent="0.3">
      <c r="B192" s="499">
        <v>2</v>
      </c>
      <c r="C192" s="509" t="s">
        <v>626</v>
      </c>
      <c r="D192" s="500">
        <v>5</v>
      </c>
      <c r="E192" s="137"/>
      <c r="F192" s="135">
        <v>0</v>
      </c>
      <c r="G192" s="135">
        <v>0</v>
      </c>
      <c r="H192" s="138">
        <f t="shared" si="30"/>
        <v>0</v>
      </c>
      <c r="I192" s="135">
        <f>IFERROR(VLOOKUP(C192,'02_TCT GUADAMUR'!$D$6:$M$36,10,FALSE),"")</f>
        <v>4</v>
      </c>
      <c r="J192" s="135">
        <f>IFERROR(VLOOKUP(C192,'02_TCT GUADAMUR'!$D$6:$O$36,12,FALSE),"")</f>
        <v>8</v>
      </c>
      <c r="K192" s="138">
        <f t="shared" si="31"/>
        <v>12</v>
      </c>
      <c r="L192" s="135"/>
      <c r="M192" s="135"/>
      <c r="N192" s="138"/>
      <c r="O192" s="135"/>
      <c r="P192" s="135"/>
      <c r="Q192" s="138"/>
      <c r="R192" s="135"/>
      <c r="S192" s="135"/>
      <c r="T192" s="138"/>
      <c r="U192" s="135"/>
      <c r="V192" s="135"/>
      <c r="W192" s="138"/>
      <c r="X192" s="139">
        <f>H192+K192+N192+Q192+T192+W192</f>
        <v>12</v>
      </c>
      <c r="Y192" s="147"/>
      <c r="Z192" s="7"/>
      <c r="AA192" s="7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</row>
    <row r="193" spans="2:39" ht="13" x14ac:dyDescent="0.3">
      <c r="B193" s="499">
        <v>3</v>
      </c>
      <c r="C193" s="509" t="s">
        <v>408</v>
      </c>
      <c r="D193" s="500">
        <v>5</v>
      </c>
      <c r="E193" s="137"/>
      <c r="F193" s="135">
        <v>0</v>
      </c>
      <c r="G193" s="135">
        <v>0</v>
      </c>
      <c r="H193" s="138">
        <f t="shared" si="30"/>
        <v>0</v>
      </c>
      <c r="I193" s="135">
        <f>IFERROR(VLOOKUP(C193,'02_TCT GUADAMUR'!$D$6:$M$36,10,FALSE),"")</f>
        <v>0</v>
      </c>
      <c r="J193" s="135">
        <f>IFERROR(VLOOKUP(C193,'02_TCT GUADAMUR'!$D$6:$O$36,12,FALSE),"")</f>
        <v>6</v>
      </c>
      <c r="K193" s="138">
        <f t="shared" si="31"/>
        <v>6</v>
      </c>
      <c r="L193" s="135"/>
      <c r="M193" s="135"/>
      <c r="N193" s="138"/>
      <c r="O193" s="135"/>
      <c r="P193" s="135"/>
      <c r="Q193" s="138"/>
      <c r="R193" s="135"/>
      <c r="S193" s="135"/>
      <c r="T193" s="138"/>
      <c r="U193" s="135"/>
      <c r="V193" s="135"/>
      <c r="W193" s="138"/>
      <c r="X193" s="139">
        <f>H193+K193+N193+Q193+T193+W193</f>
        <v>6</v>
      </c>
      <c r="Y193" s="147"/>
      <c r="Z193" s="7"/>
      <c r="AA193" s="7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</row>
    <row r="194" spans="2:39" ht="13" x14ac:dyDescent="0.3">
      <c r="B194" s="499">
        <v>4</v>
      </c>
      <c r="C194" s="509" t="s">
        <v>635</v>
      </c>
      <c r="D194" s="500">
        <v>5</v>
      </c>
      <c r="E194" s="137"/>
      <c r="F194" s="135">
        <v>0</v>
      </c>
      <c r="G194" s="135">
        <v>0</v>
      </c>
      <c r="H194" s="138">
        <f t="shared" si="30"/>
        <v>0</v>
      </c>
      <c r="I194" s="135"/>
      <c r="J194" s="135"/>
      <c r="K194" s="138"/>
      <c r="L194" s="135"/>
      <c r="M194" s="135"/>
      <c r="N194" s="138"/>
      <c r="O194" s="135"/>
      <c r="P194" s="135"/>
      <c r="Q194" s="138"/>
      <c r="R194" s="135"/>
      <c r="S194" s="135"/>
      <c r="T194" s="138"/>
      <c r="U194" s="135"/>
      <c r="V194" s="135"/>
      <c r="W194" s="138"/>
      <c r="X194" s="139">
        <f>H194+K194+N194+Q194+T194+W194</f>
        <v>0</v>
      </c>
      <c r="Y194" s="147"/>
      <c r="Z194" s="7"/>
      <c r="AA194" s="7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</row>
    <row r="195" spans="2:39" ht="12" x14ac:dyDescent="0.3">
      <c r="B195" s="155"/>
      <c r="C195" s="236"/>
      <c r="D195" s="155"/>
      <c r="E195" s="155"/>
      <c r="F195" s="147"/>
      <c r="G195" s="147"/>
      <c r="H195" s="147"/>
      <c r="I195" s="147"/>
      <c r="J195" s="147"/>
      <c r="K195" s="147"/>
      <c r="L195" s="147"/>
      <c r="M195" s="147"/>
      <c r="N195" s="147"/>
      <c r="O195" s="147"/>
      <c r="P195" s="147"/>
      <c r="Q195" s="147"/>
      <c r="R195" s="147"/>
      <c r="S195" s="147"/>
      <c r="T195" s="147"/>
      <c r="U195" s="147"/>
      <c r="V195" s="147"/>
      <c r="W195" s="147"/>
      <c r="X195" s="147"/>
      <c r="Y195" s="147"/>
      <c r="Z195" s="7"/>
      <c r="AA195" s="7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</row>
    <row r="196" spans="2:39" ht="12" x14ac:dyDescent="0.3">
      <c r="B196" s="155"/>
      <c r="C196" s="236"/>
      <c r="D196" s="154"/>
      <c r="E196" s="285"/>
      <c r="F196" s="147"/>
      <c r="G196" s="147"/>
      <c r="I196" s="147"/>
      <c r="J196" s="147"/>
      <c r="K196" s="147"/>
      <c r="L196" s="147"/>
      <c r="M196" s="147"/>
      <c r="N196" s="147"/>
      <c r="O196" s="147"/>
      <c r="P196" s="147"/>
      <c r="Q196" s="147"/>
      <c r="R196" s="147"/>
      <c r="S196" s="147"/>
      <c r="T196" s="147"/>
      <c r="U196" s="147"/>
      <c r="V196" s="147"/>
      <c r="W196" s="147"/>
      <c r="X196" s="147"/>
      <c r="Y196" s="147"/>
      <c r="Z196" s="7"/>
      <c r="AA196" s="7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</row>
    <row r="197" spans="2:39" ht="12" x14ac:dyDescent="0.3">
      <c r="B197" s="155"/>
      <c r="C197" s="236"/>
      <c r="D197" s="155"/>
      <c r="E197" s="155"/>
      <c r="F197" s="147"/>
      <c r="G197" s="147"/>
      <c r="H197" s="147"/>
      <c r="I197" s="147"/>
      <c r="J197" s="147"/>
      <c r="K197" s="147"/>
      <c r="L197" s="147"/>
      <c r="M197" s="147"/>
      <c r="N197" s="147"/>
      <c r="O197" s="147"/>
      <c r="P197" s="147"/>
      <c r="Q197" s="147"/>
      <c r="R197" s="147"/>
      <c r="S197" s="147"/>
      <c r="T197" s="147"/>
      <c r="U197" s="147"/>
      <c r="V197" s="147"/>
      <c r="W197" s="147"/>
      <c r="X197" s="147"/>
      <c r="Y197" s="147"/>
      <c r="Z197" s="7"/>
      <c r="AA197" s="7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</row>
    <row r="198" spans="2:39" ht="37.5" customHeight="1" x14ac:dyDescent="0.55000000000000004">
      <c r="B198" s="527" t="s">
        <v>553</v>
      </c>
      <c r="C198" s="527"/>
      <c r="D198" s="527"/>
      <c r="E198" s="527"/>
      <c r="F198" s="527"/>
      <c r="G198" s="527"/>
      <c r="H198" s="527"/>
      <c r="I198" s="527"/>
      <c r="J198" s="527"/>
      <c r="K198" s="527"/>
      <c r="L198" s="527"/>
      <c r="M198" s="527"/>
      <c r="N198" s="527"/>
      <c r="O198" s="527"/>
      <c r="P198" s="527"/>
      <c r="Q198" s="527"/>
      <c r="R198" s="527"/>
      <c r="S198" s="527"/>
      <c r="T198" s="527"/>
      <c r="U198" s="527"/>
      <c r="V198" s="527"/>
      <c r="W198" s="527"/>
      <c r="X198" s="461"/>
      <c r="Y198" s="147"/>
      <c r="Z198" s="7"/>
      <c r="AA198" s="7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</row>
    <row r="199" spans="2:39" ht="33" customHeight="1" x14ac:dyDescent="0.3">
      <c r="B199" s="531" t="s">
        <v>338</v>
      </c>
      <c r="C199" s="531"/>
      <c r="D199" s="531"/>
      <c r="E199" s="531"/>
      <c r="F199" s="531"/>
      <c r="G199" s="531"/>
      <c r="H199" s="531"/>
      <c r="I199" s="531"/>
      <c r="J199" s="531"/>
      <c r="K199" s="531"/>
      <c r="L199" s="531"/>
      <c r="M199" s="531"/>
      <c r="N199" s="531"/>
      <c r="O199" s="531"/>
      <c r="P199" s="531"/>
      <c r="Q199" s="531"/>
      <c r="R199" s="531"/>
      <c r="S199" s="531"/>
      <c r="T199" s="531"/>
      <c r="U199" s="531"/>
      <c r="V199" s="531"/>
      <c r="W199" s="531"/>
      <c r="X199" s="167"/>
      <c r="Y199" s="147"/>
      <c r="Z199" s="7"/>
      <c r="AA199" s="7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</row>
    <row r="200" spans="2:39" ht="15.5" x14ac:dyDescent="0.3">
      <c r="B200" s="162"/>
      <c r="C200" s="168"/>
      <c r="D200" s="161"/>
      <c r="E200" s="161"/>
      <c r="F200" s="222" t="s">
        <v>220</v>
      </c>
      <c r="G200" s="223"/>
      <c r="H200" s="224"/>
      <c r="I200" s="222" t="s">
        <v>663</v>
      </c>
      <c r="J200" s="225"/>
      <c r="K200" s="226"/>
      <c r="L200" s="222" t="s">
        <v>532</v>
      </c>
      <c r="M200" s="225"/>
      <c r="N200" s="226"/>
      <c r="O200" s="222" t="s">
        <v>526</v>
      </c>
      <c r="P200" s="225"/>
      <c r="Q200" s="226"/>
      <c r="R200" s="222" t="s">
        <v>287</v>
      </c>
      <c r="S200" s="225"/>
      <c r="T200" s="226"/>
      <c r="U200" s="413" t="s">
        <v>527</v>
      </c>
      <c r="V200" s="226"/>
      <c r="W200" s="226"/>
      <c r="X200" s="161" t="s">
        <v>213</v>
      </c>
      <c r="Y200" s="147"/>
      <c r="Z200" s="7"/>
      <c r="AA200" s="7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</row>
    <row r="201" spans="2:39" ht="15.5" x14ac:dyDescent="0.3">
      <c r="B201" s="159" t="s">
        <v>0</v>
      </c>
      <c r="C201" s="170" t="s">
        <v>166</v>
      </c>
      <c r="D201" s="160" t="s">
        <v>2</v>
      </c>
      <c r="E201" s="160" t="s">
        <v>3</v>
      </c>
      <c r="F201" s="217" t="s">
        <v>523</v>
      </c>
      <c r="G201" s="218"/>
      <c r="H201" s="219"/>
      <c r="I201" s="217" t="s">
        <v>525</v>
      </c>
      <c r="J201" s="220"/>
      <c r="K201" s="221"/>
      <c r="L201" s="217" t="s">
        <v>664</v>
      </c>
      <c r="M201" s="220"/>
      <c r="N201" s="221"/>
      <c r="O201" s="217" t="s">
        <v>529</v>
      </c>
      <c r="P201" s="220"/>
      <c r="Q201" s="221"/>
      <c r="R201" s="217" t="s">
        <v>530</v>
      </c>
      <c r="S201" s="220"/>
      <c r="T201" s="221"/>
      <c r="U201" s="414" t="s">
        <v>528</v>
      </c>
      <c r="V201" s="255"/>
      <c r="W201" s="415"/>
      <c r="X201" s="160" t="s">
        <v>9</v>
      </c>
      <c r="Y201" s="147"/>
      <c r="Z201" s="7"/>
      <c r="AA201" s="7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</row>
    <row r="202" spans="2:39" ht="13" x14ac:dyDescent="0.3">
      <c r="B202" s="163"/>
      <c r="C202" s="501"/>
      <c r="D202" s="157"/>
      <c r="E202" s="157"/>
      <c r="F202" s="131" t="s">
        <v>33</v>
      </c>
      <c r="G202" s="131" t="s">
        <v>34</v>
      </c>
      <c r="H202" s="132" t="s">
        <v>35</v>
      </c>
      <c r="I202" s="131" t="s">
        <v>33</v>
      </c>
      <c r="J202" s="131" t="s">
        <v>34</v>
      </c>
      <c r="K202" s="132" t="s">
        <v>35</v>
      </c>
      <c r="L202" s="131" t="s">
        <v>33</v>
      </c>
      <c r="M202" s="131" t="s">
        <v>34</v>
      </c>
      <c r="N202" s="132" t="s">
        <v>35</v>
      </c>
      <c r="O202" s="131" t="s">
        <v>33</v>
      </c>
      <c r="P202" s="131" t="s">
        <v>34</v>
      </c>
      <c r="Q202" s="132" t="s">
        <v>35</v>
      </c>
      <c r="R202" s="131" t="s">
        <v>33</v>
      </c>
      <c r="S202" s="131" t="s">
        <v>34</v>
      </c>
      <c r="T202" s="132" t="s">
        <v>35</v>
      </c>
      <c r="U202" s="131" t="s">
        <v>33</v>
      </c>
      <c r="V202" s="131" t="s">
        <v>34</v>
      </c>
      <c r="W202" s="132" t="s">
        <v>35</v>
      </c>
      <c r="X202" s="157"/>
      <c r="Y202" s="147"/>
      <c r="Z202" s="7"/>
      <c r="AA202" s="7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</row>
    <row r="203" spans="2:39" ht="13" x14ac:dyDescent="0.3">
      <c r="B203" s="133">
        <v>1</v>
      </c>
      <c r="C203" s="509" t="s">
        <v>598</v>
      </c>
      <c r="D203" s="227">
        <v>5</v>
      </c>
      <c r="E203" s="137"/>
      <c r="F203" s="135">
        <f>IFERROR(VLOOKUP(C203,'01_RS ALCARRIA'!$F$6:$R$36,13,FALSE),"")</f>
        <v>6</v>
      </c>
      <c r="G203" s="135">
        <f>IFERROR(VLOOKUP(C203,'01_RS ALCARRIA'!$F$6:$T$36,15,FALSE),"")</f>
        <v>10</v>
      </c>
      <c r="H203" s="138">
        <f>(F203+G203)*2</f>
        <v>32</v>
      </c>
      <c r="I203" s="135">
        <f>IFERROR(VLOOKUP(C203,'02_TCT GUADAMUR'!$F$6:$R$36,13,FALSE),"")</f>
        <v>10</v>
      </c>
      <c r="J203" s="135">
        <f>IFERROR(VLOOKUP(C203,'02_TCT GUADAMUR'!$F$6:$T$36,15,FALSE),"")</f>
        <v>10</v>
      </c>
      <c r="K203" s="138">
        <f>(I203+J203)</f>
        <v>20</v>
      </c>
      <c r="L203" s="135"/>
      <c r="M203" s="135"/>
      <c r="N203" s="138"/>
      <c r="O203" s="135"/>
      <c r="P203" s="135"/>
      <c r="Q203" s="138"/>
      <c r="R203" s="135"/>
      <c r="S203" s="135"/>
      <c r="T203" s="138"/>
      <c r="U203" s="135"/>
      <c r="V203" s="135"/>
      <c r="W203" s="138"/>
      <c r="X203" s="139">
        <f>H203+K203+N203+Q203+T203+W203</f>
        <v>52</v>
      </c>
      <c r="Y203" s="147"/>
      <c r="Z203" s="7"/>
      <c r="AA203" s="7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</row>
    <row r="204" spans="2:39" ht="13" x14ac:dyDescent="0.3">
      <c r="B204" s="133">
        <v>2</v>
      </c>
      <c r="C204" s="509" t="s">
        <v>627</v>
      </c>
      <c r="D204" s="227">
        <v>5</v>
      </c>
      <c r="E204" s="137"/>
      <c r="F204" s="135">
        <v>0</v>
      </c>
      <c r="G204" s="135">
        <v>0</v>
      </c>
      <c r="H204" s="138">
        <f>(F204+G204)*2</f>
        <v>0</v>
      </c>
      <c r="I204" s="135">
        <f>IFERROR(VLOOKUP(C204,'02_TCT GUADAMUR'!$F$6:$R$36,13,FALSE),"")</f>
        <v>5</v>
      </c>
      <c r="J204" s="135">
        <f>IFERROR(VLOOKUP(C204,'02_TCT GUADAMUR'!$F$6:$T$36,15,FALSE),"")</f>
        <v>8</v>
      </c>
      <c r="K204" s="138">
        <f>(I204+J204)</f>
        <v>13</v>
      </c>
      <c r="L204" s="135"/>
      <c r="M204" s="135"/>
      <c r="N204" s="138"/>
      <c r="O204" s="135"/>
      <c r="P204" s="135"/>
      <c r="Q204" s="138"/>
      <c r="R204" s="135"/>
      <c r="S204" s="135"/>
      <c r="T204" s="138"/>
      <c r="U204" s="135"/>
      <c r="V204" s="135"/>
      <c r="W204" s="138"/>
      <c r="X204" s="139">
        <f>H204+K204+N204+Q204+T204+W204</f>
        <v>13</v>
      </c>
      <c r="Y204" s="147"/>
      <c r="Z204" s="7"/>
      <c r="AA204" s="7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</row>
    <row r="205" spans="2:39" ht="13" x14ac:dyDescent="0.3">
      <c r="B205" s="133">
        <v>3</v>
      </c>
      <c r="C205" s="509" t="s">
        <v>631</v>
      </c>
      <c r="D205" s="227">
        <v>5</v>
      </c>
      <c r="E205" s="137"/>
      <c r="F205" s="135">
        <v>0</v>
      </c>
      <c r="G205" s="135">
        <v>0</v>
      </c>
      <c r="H205" s="138">
        <f>(F205+G205)*2</f>
        <v>0</v>
      </c>
      <c r="I205" s="135">
        <f>IFERROR(VLOOKUP(C205,'02_TCT GUADAMUR'!$F$6:$R$36,13,FALSE),"")</f>
        <v>0</v>
      </c>
      <c r="J205" s="135">
        <f>IFERROR(VLOOKUP(C205,'02_TCT GUADAMUR'!$F$6:$T$36,15,FALSE),"")</f>
        <v>6</v>
      </c>
      <c r="K205" s="138">
        <f>(I205+J205)</f>
        <v>6</v>
      </c>
      <c r="L205" s="135"/>
      <c r="M205" s="135"/>
      <c r="N205" s="138"/>
      <c r="O205" s="135"/>
      <c r="P205" s="135"/>
      <c r="Q205" s="138"/>
      <c r="R205" s="135"/>
      <c r="S205" s="135"/>
      <c r="T205" s="138"/>
      <c r="U205" s="135"/>
      <c r="V205" s="135"/>
      <c r="W205" s="138"/>
      <c r="X205" s="139">
        <f>H205+K205+N205+Q205+T205+W205</f>
        <v>6</v>
      </c>
      <c r="Y205" s="147"/>
      <c r="Z205" s="7"/>
      <c r="AA205" s="7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</row>
    <row r="206" spans="2:39" ht="13" x14ac:dyDescent="0.3">
      <c r="B206" s="133">
        <v>4</v>
      </c>
      <c r="C206" s="509" t="s">
        <v>636</v>
      </c>
      <c r="D206" s="227">
        <v>5</v>
      </c>
      <c r="E206" s="137"/>
      <c r="F206" s="135">
        <v>0</v>
      </c>
      <c r="G206" s="135">
        <v>0</v>
      </c>
      <c r="H206" s="138">
        <f>(F206+G206)*2</f>
        <v>0</v>
      </c>
      <c r="I206" s="135"/>
      <c r="J206" s="135"/>
      <c r="K206" s="138"/>
      <c r="L206" s="135"/>
      <c r="M206" s="135"/>
      <c r="N206" s="138"/>
      <c r="O206" s="135"/>
      <c r="P206" s="135"/>
      <c r="Q206" s="138"/>
      <c r="R206" s="135"/>
      <c r="S206" s="135"/>
      <c r="T206" s="138"/>
      <c r="U206" s="135"/>
      <c r="V206" s="135"/>
      <c r="W206" s="138"/>
      <c r="X206" s="139">
        <f>H206+K206+N206+Q206+T206+W206</f>
        <v>0</v>
      </c>
      <c r="Y206" s="147"/>
      <c r="Z206" s="7"/>
      <c r="AA206" s="7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</row>
    <row r="207" spans="2:39" ht="12" x14ac:dyDescent="0.3">
      <c r="B207" s="155"/>
      <c r="C207" s="236"/>
      <c r="D207" s="155"/>
      <c r="E207" s="155"/>
      <c r="F207" s="147"/>
      <c r="G207" s="147"/>
      <c r="H207" s="147"/>
      <c r="I207" s="147"/>
      <c r="J207" s="147"/>
      <c r="K207" s="147"/>
      <c r="L207" s="147"/>
      <c r="M207" s="147"/>
      <c r="N207" s="147"/>
      <c r="O207" s="147"/>
      <c r="P207" s="147"/>
      <c r="Q207" s="147"/>
      <c r="R207" s="147"/>
      <c r="S207" s="147"/>
      <c r="T207" s="147"/>
      <c r="U207" s="147"/>
      <c r="V207" s="147"/>
      <c r="W207" s="147"/>
      <c r="X207" s="147"/>
      <c r="Y207" s="147"/>
      <c r="Z207" s="7"/>
      <c r="AA207" s="7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</row>
    <row r="208" spans="2:39" ht="12" x14ac:dyDescent="0.3">
      <c r="B208" s="155"/>
      <c r="C208" s="236"/>
      <c r="D208" s="154"/>
      <c r="E208" s="285"/>
      <c r="F208" s="147"/>
      <c r="G208" s="147"/>
      <c r="H208" s="147"/>
      <c r="I208" s="147"/>
      <c r="J208" s="147"/>
      <c r="K208" s="147"/>
      <c r="L208" s="147"/>
      <c r="M208" s="147"/>
      <c r="N208" s="147"/>
      <c r="O208" s="147"/>
      <c r="P208" s="147"/>
      <c r="Q208" s="147"/>
      <c r="R208" s="147"/>
      <c r="S208" s="147"/>
      <c r="T208" s="147"/>
      <c r="U208" s="147"/>
      <c r="V208" s="147"/>
      <c r="W208" s="147"/>
      <c r="X208" s="147"/>
      <c r="Y208" s="147"/>
      <c r="Z208" s="7"/>
      <c r="AA208" s="7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</row>
    <row r="209" spans="2:39" ht="12" x14ac:dyDescent="0.3">
      <c r="B209" s="155"/>
      <c r="C209" s="236"/>
      <c r="D209" s="155"/>
      <c r="E209" s="155"/>
      <c r="F209" s="147"/>
      <c r="G209" s="147"/>
      <c r="H209" s="147"/>
      <c r="I209" s="147"/>
      <c r="J209" s="147"/>
      <c r="K209" s="147"/>
      <c r="L209" s="147"/>
      <c r="M209" s="147"/>
      <c r="N209" s="147"/>
      <c r="O209" s="147"/>
      <c r="P209" s="147"/>
      <c r="Q209" s="147"/>
      <c r="R209" s="147"/>
      <c r="S209" s="147"/>
      <c r="T209" s="147"/>
      <c r="U209" s="147"/>
      <c r="V209" s="147"/>
      <c r="W209" s="147"/>
      <c r="X209" s="147"/>
      <c r="Y209" s="147"/>
      <c r="Z209" s="7"/>
      <c r="AA209" s="7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</row>
    <row r="210" spans="2:39" ht="12" x14ac:dyDescent="0.3">
      <c r="B210" s="155"/>
      <c r="C210" s="236"/>
      <c r="D210" s="155"/>
      <c r="E210" s="155"/>
      <c r="F210" s="147"/>
      <c r="G210" s="147"/>
      <c r="H210" s="147"/>
      <c r="I210" s="147"/>
      <c r="J210" s="147"/>
      <c r="K210" s="147"/>
      <c r="L210" s="147"/>
      <c r="M210" s="147"/>
      <c r="N210" s="147"/>
      <c r="O210" s="147"/>
      <c r="P210" s="147"/>
      <c r="Q210" s="147"/>
      <c r="R210" s="147"/>
      <c r="S210" s="147"/>
      <c r="T210" s="147"/>
      <c r="U210" s="147"/>
      <c r="V210" s="147"/>
      <c r="W210" s="147"/>
      <c r="X210" s="147"/>
      <c r="Y210" s="147"/>
      <c r="Z210" s="7"/>
      <c r="AA210" s="7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</row>
    <row r="211" spans="2:39" ht="12" x14ac:dyDescent="0.3">
      <c r="B211" s="155"/>
      <c r="C211" s="236"/>
      <c r="D211" s="155"/>
      <c r="E211" s="155"/>
      <c r="F211" s="147"/>
      <c r="G211" s="147"/>
      <c r="H211" s="147"/>
      <c r="I211" s="147"/>
      <c r="J211" s="147"/>
      <c r="K211" s="147"/>
      <c r="L211" s="147"/>
      <c r="M211" s="147"/>
      <c r="N211" s="147"/>
      <c r="O211" s="147"/>
      <c r="P211" s="147"/>
      <c r="Q211" s="147"/>
      <c r="R211" s="147"/>
      <c r="S211" s="147"/>
      <c r="T211" s="147"/>
      <c r="U211" s="147"/>
      <c r="V211" s="147"/>
      <c r="W211" s="147"/>
      <c r="X211" s="147"/>
      <c r="Y211" s="147"/>
      <c r="Z211" s="7"/>
      <c r="AA211" s="7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</row>
    <row r="212" spans="2:39" ht="39" customHeight="1" x14ac:dyDescent="0.55000000000000004">
      <c r="B212" s="164" t="s">
        <v>517</v>
      </c>
      <c r="C212" s="165"/>
      <c r="D212" s="165"/>
      <c r="E212" s="165"/>
      <c r="F212" s="165"/>
      <c r="G212" s="165"/>
      <c r="H212" s="165"/>
      <c r="I212" s="165"/>
      <c r="J212" s="165"/>
      <c r="K212" s="165"/>
      <c r="L212" s="165"/>
      <c r="M212" s="165"/>
      <c r="N212" s="165"/>
      <c r="O212" s="165"/>
      <c r="P212" s="165"/>
      <c r="Q212" s="165"/>
      <c r="R212" s="165"/>
      <c r="S212" s="165"/>
      <c r="T212" s="165"/>
      <c r="U212" s="165"/>
      <c r="V212" s="165"/>
      <c r="W212" s="165"/>
      <c r="X212" s="165"/>
    </row>
    <row r="213" spans="2:39" ht="37.5" customHeight="1" x14ac:dyDescent="0.3">
      <c r="B213" s="166" t="s">
        <v>224</v>
      </c>
      <c r="C213" s="167"/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30"/>
      <c r="Z213" s="30"/>
    </row>
    <row r="214" spans="2:39" ht="12.75" customHeight="1" x14ac:dyDescent="0.3">
      <c r="B214" s="162"/>
      <c r="C214" s="168"/>
      <c r="D214" s="161"/>
      <c r="E214" s="161"/>
      <c r="F214" s="222" t="s">
        <v>220</v>
      </c>
      <c r="G214" s="223"/>
      <c r="H214" s="224"/>
      <c r="I214" s="222" t="s">
        <v>663</v>
      </c>
      <c r="J214" s="225"/>
      <c r="K214" s="226"/>
      <c r="L214" s="222" t="s">
        <v>532</v>
      </c>
      <c r="M214" s="225"/>
      <c r="N214" s="226"/>
      <c r="O214" s="222" t="s">
        <v>526</v>
      </c>
      <c r="P214" s="225"/>
      <c r="Q214" s="226"/>
      <c r="R214" s="222" t="s">
        <v>287</v>
      </c>
      <c r="S214" s="225"/>
      <c r="T214" s="226"/>
      <c r="U214" s="413" t="s">
        <v>527</v>
      </c>
      <c r="V214" s="226"/>
      <c r="W214" s="226"/>
      <c r="X214" s="161" t="s">
        <v>213</v>
      </c>
      <c r="Y214" s="30"/>
      <c r="Z214" s="30"/>
    </row>
    <row r="215" spans="2:39" ht="12.75" customHeight="1" x14ac:dyDescent="0.3">
      <c r="B215" s="159" t="s">
        <v>0</v>
      </c>
      <c r="C215" s="170" t="s">
        <v>1</v>
      </c>
      <c r="D215" s="160" t="s">
        <v>2</v>
      </c>
      <c r="E215" s="160" t="s">
        <v>3</v>
      </c>
      <c r="F215" s="217" t="s">
        <v>523</v>
      </c>
      <c r="G215" s="218"/>
      <c r="H215" s="219"/>
      <c r="I215" s="217" t="s">
        <v>525</v>
      </c>
      <c r="J215" s="220"/>
      <c r="K215" s="221"/>
      <c r="L215" s="217" t="s">
        <v>664</v>
      </c>
      <c r="M215" s="220"/>
      <c r="N215" s="221"/>
      <c r="O215" s="217" t="s">
        <v>529</v>
      </c>
      <c r="P215" s="220"/>
      <c r="Q215" s="221"/>
      <c r="R215" s="217" t="s">
        <v>530</v>
      </c>
      <c r="S215" s="220"/>
      <c r="T215" s="221"/>
      <c r="U215" s="414" t="s">
        <v>528</v>
      </c>
      <c r="V215" s="255"/>
      <c r="W215" s="415"/>
      <c r="X215" s="160" t="s">
        <v>9</v>
      </c>
      <c r="Y215" s="519" t="s">
        <v>223</v>
      </c>
      <c r="Z215" s="521" t="s">
        <v>4</v>
      </c>
    </row>
    <row r="216" spans="2:39" ht="12.75" customHeight="1" x14ac:dyDescent="0.3">
      <c r="B216" s="163"/>
      <c r="C216" s="169"/>
      <c r="D216" s="157"/>
      <c r="E216" s="157"/>
      <c r="F216" s="131" t="s">
        <v>33</v>
      </c>
      <c r="G216" s="131" t="s">
        <v>34</v>
      </c>
      <c r="H216" s="132" t="s">
        <v>35</v>
      </c>
      <c r="I216" s="131" t="s">
        <v>33</v>
      </c>
      <c r="J216" s="131" t="s">
        <v>34</v>
      </c>
      <c r="K216" s="132" t="s">
        <v>35</v>
      </c>
      <c r="L216" s="131" t="s">
        <v>33</v>
      </c>
      <c r="M216" s="131" t="s">
        <v>34</v>
      </c>
      <c r="N216" s="132" t="s">
        <v>35</v>
      </c>
      <c r="O216" s="131" t="s">
        <v>33</v>
      </c>
      <c r="P216" s="131" t="s">
        <v>34</v>
      </c>
      <c r="Q216" s="132" t="s">
        <v>35</v>
      </c>
      <c r="R216" s="131" t="s">
        <v>33</v>
      </c>
      <c r="S216" s="131" t="s">
        <v>34</v>
      </c>
      <c r="T216" s="132" t="s">
        <v>35</v>
      </c>
      <c r="U216" s="131" t="s">
        <v>33</v>
      </c>
      <c r="V216" s="131" t="s">
        <v>34</v>
      </c>
      <c r="W216" s="132" t="s">
        <v>35</v>
      </c>
      <c r="X216" s="157"/>
      <c r="Y216" s="520"/>
      <c r="Z216" s="522"/>
    </row>
    <row r="217" spans="2:39" ht="12.75" customHeight="1" x14ac:dyDescent="0.3">
      <c r="B217" s="133">
        <v>1</v>
      </c>
      <c r="C217" s="142" t="s">
        <v>570</v>
      </c>
      <c r="D217" s="227">
        <v>6</v>
      </c>
      <c r="E217" s="137"/>
      <c r="F217" s="135">
        <f>IFERROR(VLOOKUP(C217,'01_RS ALCARRIA'!$D$41:$M$45,10, FALSE), " ")</f>
        <v>25</v>
      </c>
      <c r="G217" s="284">
        <f>IFERROR(VLOOKUP(C217,'01_RS ALCARRIA'!$D$41:$O$45,12, FALSE), " ")/2</f>
        <v>5</v>
      </c>
      <c r="H217" s="138">
        <f>(F217+G217)*2</f>
        <v>60</v>
      </c>
      <c r="I217" s="135">
        <f>IFERROR(VLOOKUP(C217,'02_TCT GUADAMUR'!$D$41:$M$45,10, FALSE), " ")</f>
        <v>25</v>
      </c>
      <c r="J217" s="135">
        <f>IFERROR(VLOOKUP(C217,'02_TCT GUADAMUR'!$D$41:$O$45,12, FALSE), " ")</f>
        <v>10</v>
      </c>
      <c r="K217" s="138">
        <f>(I217+J217)</f>
        <v>35</v>
      </c>
      <c r="L217" s="135"/>
      <c r="M217" s="135"/>
      <c r="N217" s="138"/>
      <c r="O217" s="135"/>
      <c r="P217" s="135"/>
      <c r="Q217" s="138"/>
      <c r="R217" s="135"/>
      <c r="S217" s="135"/>
      <c r="T217" s="138"/>
      <c r="U217" s="135"/>
      <c r="V217" s="135"/>
      <c r="W217" s="138"/>
      <c r="X217" s="139">
        <f>H217+K217+N217+Q217+T217+W217</f>
        <v>95</v>
      </c>
      <c r="Y217" s="140" t="str">
        <f>IF(Z217&gt;=3,"Sí","No")</f>
        <v>No</v>
      </c>
      <c r="Z217" s="141">
        <f>COUNTA(H217,K217,N217,Q217,T217,W217)</f>
        <v>2</v>
      </c>
    </row>
    <row r="218" spans="2:39" ht="12.75" customHeight="1" x14ac:dyDescent="0.3">
      <c r="B218" s="133">
        <v>2</v>
      </c>
      <c r="C218" s="142" t="s">
        <v>571</v>
      </c>
      <c r="D218" s="227">
        <v>6</v>
      </c>
      <c r="E218" s="137"/>
      <c r="F218" s="135">
        <f>IFERROR(VLOOKUP(C218,'01_RS ALCARRIA'!$D$41:$M$45,10, FALSE), " ")</f>
        <v>20</v>
      </c>
      <c r="G218" s="284">
        <f>IFERROR(VLOOKUP(C218,'01_RS ALCARRIA'!$D$41:$O$45,12, FALSE), " ")/2</f>
        <v>4</v>
      </c>
      <c r="H218" s="138">
        <f t="shared" ref="H218" si="32">(F218+G218)*2</f>
        <v>48</v>
      </c>
      <c r="I218" s="135">
        <f>IFERROR(VLOOKUP(C218,'02_TCT GUADAMUR'!$D$41:$M$45,10, FALSE), " ")</f>
        <v>15</v>
      </c>
      <c r="J218" s="135">
        <f>IFERROR(VLOOKUP(C218,'02_TCT GUADAMUR'!$D$41:$O$45,12, FALSE), " ")</f>
        <v>5</v>
      </c>
      <c r="K218" s="138">
        <f t="shared" ref="K218:K220" si="33">(I218+J218)</f>
        <v>20</v>
      </c>
      <c r="L218" s="135"/>
      <c r="M218" s="135"/>
      <c r="N218" s="138"/>
      <c r="O218" s="135"/>
      <c r="P218" s="135"/>
      <c r="Q218" s="138"/>
      <c r="R218" s="135"/>
      <c r="S218" s="135"/>
      <c r="T218" s="138"/>
      <c r="U218" s="135"/>
      <c r="V218" s="135"/>
      <c r="W218" s="138"/>
      <c r="X218" s="139">
        <f t="shared" ref="X218:X220" si="34">H218+K218+N218+Q218+T218+W218</f>
        <v>68</v>
      </c>
      <c r="Y218" s="140" t="str">
        <f>IF(Z218&gt;=3,"Sí","No")</f>
        <v>No</v>
      </c>
      <c r="Z218" s="141">
        <f t="shared" ref="Z218:Z220" si="35">COUNTA(H218,K218,N218,Q218,T218,W218)</f>
        <v>2</v>
      </c>
    </row>
    <row r="219" spans="2:39" ht="12.75" customHeight="1" x14ac:dyDescent="0.3">
      <c r="B219" s="133">
        <v>3</v>
      </c>
      <c r="C219" s="142" t="s">
        <v>687</v>
      </c>
      <c r="D219" s="227">
        <v>6</v>
      </c>
      <c r="E219" s="137"/>
      <c r="F219" s="135"/>
      <c r="G219" s="135"/>
      <c r="H219" s="138"/>
      <c r="I219" s="135">
        <f>IFERROR(VLOOKUP(C219,'02_TCT GUADAMUR'!$D$41:$M$45,10, FALSE), " ")</f>
        <v>20</v>
      </c>
      <c r="J219" s="135">
        <f>IFERROR(VLOOKUP(C219,'02_TCT GUADAMUR'!$D$41:$O$45,12, FALSE), " ")</f>
        <v>8</v>
      </c>
      <c r="K219" s="138">
        <f t="shared" si="33"/>
        <v>28</v>
      </c>
      <c r="L219" s="135"/>
      <c r="M219" s="135"/>
      <c r="N219" s="138"/>
      <c r="O219" s="135"/>
      <c r="P219" s="135"/>
      <c r="Q219" s="138"/>
      <c r="R219" s="135"/>
      <c r="S219" s="135"/>
      <c r="T219" s="138"/>
      <c r="U219" s="135"/>
      <c r="V219" s="135"/>
      <c r="W219" s="138"/>
      <c r="X219" s="139">
        <f t="shared" si="34"/>
        <v>28</v>
      </c>
      <c r="Y219" s="140" t="str">
        <f>IF(Z219&gt;=3,"Sí","No")</f>
        <v>No</v>
      </c>
      <c r="Z219" s="141">
        <f t="shared" si="35"/>
        <v>1</v>
      </c>
    </row>
    <row r="220" spans="2:39" ht="12.75" customHeight="1" x14ac:dyDescent="0.3">
      <c r="B220" s="133">
        <v>4</v>
      </c>
      <c r="C220" s="142" t="s">
        <v>689</v>
      </c>
      <c r="D220" s="227">
        <v>6</v>
      </c>
      <c r="E220" s="137"/>
      <c r="F220" s="135"/>
      <c r="G220" s="135"/>
      <c r="H220" s="138"/>
      <c r="I220" s="135">
        <f>IFERROR(VLOOKUP(C220,'02_TCT GUADAMUR'!$D$41:$M$45,10, FALSE), " ")</f>
        <v>17</v>
      </c>
      <c r="J220" s="135">
        <f>IFERROR(VLOOKUP(C220,'02_TCT GUADAMUR'!$D$41:$O$45,12, FALSE), " ")</f>
        <v>6</v>
      </c>
      <c r="K220" s="138">
        <f t="shared" si="33"/>
        <v>23</v>
      </c>
      <c r="L220" s="135"/>
      <c r="M220" s="135"/>
      <c r="N220" s="138"/>
      <c r="O220" s="135"/>
      <c r="P220" s="135"/>
      <c r="Q220" s="138"/>
      <c r="R220" s="135"/>
      <c r="S220" s="135"/>
      <c r="T220" s="138"/>
      <c r="U220" s="135"/>
      <c r="V220" s="135"/>
      <c r="W220" s="138"/>
      <c r="X220" s="139">
        <f t="shared" si="34"/>
        <v>23</v>
      </c>
      <c r="Y220" s="140" t="str">
        <f>IF(Z220&gt;=3,"Sí","No")</f>
        <v>No</v>
      </c>
      <c r="Z220" s="141">
        <f t="shared" si="35"/>
        <v>1</v>
      </c>
    </row>
    <row r="221" spans="2:39" ht="12" x14ac:dyDescent="0.3">
      <c r="B221" s="155"/>
      <c r="C221" s="155"/>
      <c r="D221" s="155"/>
      <c r="E221" s="155"/>
      <c r="F221" s="155"/>
      <c r="G221" s="155"/>
      <c r="H221" s="155"/>
      <c r="I221" s="155"/>
      <c r="J221" s="155"/>
      <c r="K221" s="155"/>
      <c r="L221" s="155"/>
      <c r="M221" s="155"/>
      <c r="N221" s="155"/>
      <c r="O221" s="155"/>
      <c r="P221" s="155"/>
      <c r="Q221" s="155"/>
      <c r="R221" s="155"/>
      <c r="S221" s="155"/>
      <c r="T221" s="155"/>
      <c r="U221" s="155"/>
      <c r="V221" s="155"/>
      <c r="W221" s="155"/>
      <c r="X221" s="155"/>
      <c r="Y221" s="149"/>
    </row>
    <row r="222" spans="2:39" ht="12.75" customHeight="1" x14ac:dyDescent="0.3">
      <c r="B222" s="1"/>
      <c r="C222" s="235"/>
      <c r="D222" s="284"/>
      <c r="E222" s="285" t="s">
        <v>534</v>
      </c>
      <c r="F222" s="147"/>
      <c r="G222" s="147"/>
      <c r="H222" s="147"/>
      <c r="I222" s="147"/>
      <c r="J222" s="147"/>
      <c r="K222" s="147"/>
      <c r="L222" s="147"/>
      <c r="M222" s="147"/>
      <c r="N222" s="147"/>
      <c r="O222" s="147"/>
      <c r="P222" s="147"/>
      <c r="Q222" s="147"/>
      <c r="R222" s="147"/>
      <c r="S222" s="147"/>
      <c r="T222" s="147"/>
      <c r="U222" s="147"/>
      <c r="V222" s="147"/>
      <c r="W222" s="147"/>
      <c r="X222" s="147"/>
      <c r="Y222" s="147"/>
      <c r="Z222" s="147"/>
      <c r="AA222" s="148"/>
      <c r="AB222" s="262"/>
    </row>
    <row r="223" spans="2:39" ht="12" x14ac:dyDescent="0.3">
      <c r="B223" s="155"/>
      <c r="C223" s="155"/>
      <c r="D223" s="155"/>
      <c r="E223" s="155"/>
      <c r="F223" s="155"/>
      <c r="G223" s="155"/>
      <c r="H223" s="155"/>
      <c r="I223" s="155"/>
      <c r="J223" s="155"/>
      <c r="K223" s="155"/>
      <c r="L223" s="155"/>
      <c r="M223" s="155"/>
      <c r="N223" s="155"/>
      <c r="O223" s="155"/>
      <c r="P223" s="155"/>
      <c r="Q223" s="155"/>
      <c r="R223" s="155"/>
      <c r="S223" s="155"/>
      <c r="T223" s="155"/>
      <c r="U223" s="155"/>
      <c r="V223" s="155"/>
      <c r="W223" s="155"/>
      <c r="X223" s="155"/>
    </row>
    <row r="224" spans="2:39" ht="39" customHeight="1" x14ac:dyDescent="0.55000000000000004">
      <c r="B224" s="164" t="s">
        <v>517</v>
      </c>
      <c r="C224" s="165"/>
      <c r="D224" s="165"/>
      <c r="E224" s="165"/>
      <c r="F224" s="165"/>
      <c r="G224" s="165"/>
      <c r="H224" s="165"/>
      <c r="I224" s="165"/>
      <c r="J224" s="165"/>
      <c r="K224" s="165"/>
      <c r="L224" s="165"/>
      <c r="M224" s="165"/>
      <c r="N224" s="165"/>
      <c r="O224" s="165"/>
      <c r="P224" s="165"/>
      <c r="Q224" s="165"/>
      <c r="R224" s="165"/>
      <c r="S224" s="165"/>
      <c r="T224" s="165"/>
      <c r="U224" s="165"/>
      <c r="V224" s="165"/>
      <c r="W224" s="165"/>
      <c r="X224" s="165"/>
    </row>
    <row r="225" spans="2:28" ht="37.5" customHeight="1" x14ac:dyDescent="0.3">
      <c r="B225" s="166" t="s">
        <v>338</v>
      </c>
      <c r="C225" s="167"/>
      <c r="D225" s="167"/>
      <c r="E225" s="167"/>
      <c r="F225" s="167"/>
      <c r="G225" s="167"/>
      <c r="H225" s="167"/>
      <c r="I225" s="167"/>
      <c r="J225" s="167"/>
      <c r="K225" s="167"/>
      <c r="L225" s="167"/>
      <c r="M225" s="167"/>
      <c r="N225" s="167"/>
      <c r="O225" s="167"/>
      <c r="P225" s="167"/>
      <c r="Q225" s="167"/>
      <c r="R225" s="167"/>
      <c r="S225" s="167"/>
      <c r="T225" s="167"/>
      <c r="U225" s="167"/>
      <c r="V225" s="167"/>
      <c r="W225" s="167"/>
      <c r="X225" s="167"/>
      <c r="Y225" s="30"/>
      <c r="Z225" s="30"/>
    </row>
    <row r="226" spans="2:28" ht="12.75" customHeight="1" x14ac:dyDescent="0.3">
      <c r="B226" s="162"/>
      <c r="C226" s="168"/>
      <c r="D226" s="161"/>
      <c r="E226" s="161"/>
      <c r="F226" s="222" t="s">
        <v>220</v>
      </c>
      <c r="G226" s="223"/>
      <c r="H226" s="224"/>
      <c r="I226" s="222" t="s">
        <v>663</v>
      </c>
      <c r="J226" s="225"/>
      <c r="K226" s="226"/>
      <c r="L226" s="222" t="s">
        <v>532</v>
      </c>
      <c r="M226" s="225"/>
      <c r="N226" s="226"/>
      <c r="O226" s="222" t="s">
        <v>526</v>
      </c>
      <c r="P226" s="225"/>
      <c r="Q226" s="226"/>
      <c r="R226" s="222" t="s">
        <v>287</v>
      </c>
      <c r="S226" s="225"/>
      <c r="T226" s="226"/>
      <c r="U226" s="413" t="s">
        <v>527</v>
      </c>
      <c r="V226" s="226"/>
      <c r="W226" s="226"/>
      <c r="X226" s="161" t="s">
        <v>213</v>
      </c>
      <c r="Y226" s="30"/>
      <c r="Z226" s="30"/>
    </row>
    <row r="227" spans="2:28" ht="12.75" customHeight="1" x14ac:dyDescent="0.3">
      <c r="B227" s="159" t="s">
        <v>0</v>
      </c>
      <c r="C227" s="170" t="s">
        <v>166</v>
      </c>
      <c r="D227" s="160" t="s">
        <v>2</v>
      </c>
      <c r="E227" s="160" t="s">
        <v>3</v>
      </c>
      <c r="F227" s="217" t="s">
        <v>523</v>
      </c>
      <c r="G227" s="218"/>
      <c r="H227" s="219"/>
      <c r="I227" s="217" t="s">
        <v>525</v>
      </c>
      <c r="J227" s="220"/>
      <c r="K227" s="221"/>
      <c r="L227" s="217" t="s">
        <v>664</v>
      </c>
      <c r="M227" s="220"/>
      <c r="N227" s="221"/>
      <c r="O227" s="217" t="s">
        <v>529</v>
      </c>
      <c r="P227" s="220"/>
      <c r="Q227" s="221"/>
      <c r="R227" s="217" t="s">
        <v>530</v>
      </c>
      <c r="S227" s="220"/>
      <c r="T227" s="221"/>
      <c r="U227" s="414" t="s">
        <v>528</v>
      </c>
      <c r="V227" s="255"/>
      <c r="W227" s="415"/>
      <c r="X227" s="160" t="s">
        <v>9</v>
      </c>
      <c r="Y227" s="519" t="s">
        <v>223</v>
      </c>
      <c r="Z227" s="521" t="s">
        <v>4</v>
      </c>
    </row>
    <row r="228" spans="2:28" ht="12.75" customHeight="1" x14ac:dyDescent="0.3">
      <c r="B228" s="163"/>
      <c r="C228" s="169"/>
      <c r="D228" s="157"/>
      <c r="E228" s="157"/>
      <c r="F228" s="131" t="s">
        <v>33</v>
      </c>
      <c r="G228" s="131" t="s">
        <v>34</v>
      </c>
      <c r="H228" s="132" t="s">
        <v>35</v>
      </c>
      <c r="I228" s="131" t="s">
        <v>33</v>
      </c>
      <c r="J228" s="131" t="s">
        <v>34</v>
      </c>
      <c r="K228" s="132" t="s">
        <v>35</v>
      </c>
      <c r="L228" s="131" t="s">
        <v>33</v>
      </c>
      <c r="M228" s="131" t="s">
        <v>34</v>
      </c>
      <c r="N228" s="132" t="s">
        <v>35</v>
      </c>
      <c r="O228" s="131" t="s">
        <v>33</v>
      </c>
      <c r="P228" s="131" t="s">
        <v>34</v>
      </c>
      <c r="Q228" s="132" t="s">
        <v>35</v>
      </c>
      <c r="R228" s="131" t="s">
        <v>33</v>
      </c>
      <c r="S228" s="131" t="s">
        <v>34</v>
      </c>
      <c r="T228" s="132" t="s">
        <v>35</v>
      </c>
      <c r="U228" s="131" t="s">
        <v>33</v>
      </c>
      <c r="V228" s="131" t="s">
        <v>34</v>
      </c>
      <c r="W228" s="132" t="s">
        <v>35</v>
      </c>
      <c r="X228" s="157"/>
      <c r="Y228" s="520"/>
      <c r="Z228" s="522"/>
    </row>
    <row r="229" spans="2:28" ht="12.75" customHeight="1" x14ac:dyDescent="0.3">
      <c r="B229" s="133">
        <v>1</v>
      </c>
      <c r="C229" s="151" t="s">
        <v>572</v>
      </c>
      <c r="D229" s="227">
        <v>6</v>
      </c>
      <c r="E229" s="136"/>
      <c r="F229" s="135">
        <f>IFERROR(VLOOKUP(C229,'01_RS ALCARRIA'!$F$41:$R$45,13,FALSE),"")</f>
        <v>25</v>
      </c>
      <c r="G229" s="284">
        <f>IFERROR(VLOOKUP(C229,'01_RS ALCARRIA'!$F$41:$T$45,15,FALSE),"")/2</f>
        <v>5</v>
      </c>
      <c r="H229" s="138">
        <f>(F229+G229)*2</f>
        <v>60</v>
      </c>
      <c r="I229" s="135">
        <f>IFERROR(VLOOKUP(C229,'02_TCT GUADAMUR'!$F$41:$R$45,13,FALSE),"")</f>
        <v>25</v>
      </c>
      <c r="J229" s="135">
        <f>IFERROR(VLOOKUP(C229,'02_TCT GUADAMUR'!$F$41:$T$45,15,FALSE),"")</f>
        <v>10</v>
      </c>
      <c r="K229" s="138">
        <f>(I229+J229)</f>
        <v>35</v>
      </c>
      <c r="L229" s="135"/>
      <c r="M229" s="135"/>
      <c r="N229" s="138"/>
      <c r="O229" s="135"/>
      <c r="P229" s="135"/>
      <c r="Q229" s="138"/>
      <c r="R229" s="135"/>
      <c r="S229" s="135"/>
      <c r="T229" s="138"/>
      <c r="U229" s="135"/>
      <c r="V229" s="135"/>
      <c r="W229" s="138"/>
      <c r="X229" s="139">
        <f>H229+K229+N229+Q229+T229+W229</f>
        <v>95</v>
      </c>
      <c r="Y229" s="140" t="str">
        <f t="shared" ref="Y229:Y232" si="36">IF(Z229&gt;=2,"Sí","No")</f>
        <v>Sí</v>
      </c>
      <c r="Z229" s="141">
        <f>COUNTA(H229,K229,N229,Q229,T229,W229)</f>
        <v>2</v>
      </c>
    </row>
    <row r="230" spans="2:28" ht="12.75" customHeight="1" x14ac:dyDescent="0.3">
      <c r="B230" s="133">
        <v>2</v>
      </c>
      <c r="C230" s="151" t="s">
        <v>573</v>
      </c>
      <c r="D230" s="227">
        <v>6</v>
      </c>
      <c r="E230" s="135"/>
      <c r="F230" s="135">
        <f>IFERROR(VLOOKUP(C230,'01_RS ALCARRIA'!$F$41:$R$45,13,FALSE),"")</f>
        <v>20</v>
      </c>
      <c r="G230" s="284">
        <f>IFERROR(VLOOKUP(C230,'01_RS ALCARRIA'!$F$41:$T$45,15,FALSE),"")/2</f>
        <v>4</v>
      </c>
      <c r="H230" s="138">
        <f t="shared" ref="H230" si="37">(F230+G230)*2</f>
        <v>48</v>
      </c>
      <c r="I230" s="135">
        <f>IFERROR(VLOOKUP(C230,'02_TCT GUADAMUR'!$F$41:$R$45,13,FALSE),"")</f>
        <v>15</v>
      </c>
      <c r="J230" s="135">
        <f>IFERROR(VLOOKUP(C230,'02_TCT GUADAMUR'!$F$41:$T$45,15,FALSE),"")</f>
        <v>5</v>
      </c>
      <c r="K230" s="138">
        <f t="shared" ref="K230:K232" si="38">(I230+J230)</f>
        <v>20</v>
      </c>
      <c r="L230" s="135"/>
      <c r="M230" s="135"/>
      <c r="N230" s="138"/>
      <c r="O230" s="135"/>
      <c r="P230" s="135"/>
      <c r="Q230" s="138"/>
      <c r="R230" s="135"/>
      <c r="S230" s="135"/>
      <c r="T230" s="138"/>
      <c r="U230" s="135"/>
      <c r="V230" s="135"/>
      <c r="W230" s="138"/>
      <c r="X230" s="139">
        <f t="shared" ref="X230:X232" si="39">H230+K230+N230+Q230+T230+W230</f>
        <v>68</v>
      </c>
      <c r="Y230" s="140" t="str">
        <f t="shared" si="36"/>
        <v>Sí</v>
      </c>
      <c r="Z230" s="141">
        <f t="shared" ref="Z230:Z232" si="40">COUNTA(H230,K230,N230,Q230,T230,W230)</f>
        <v>2</v>
      </c>
    </row>
    <row r="231" spans="2:28" ht="12.75" customHeight="1" x14ac:dyDescent="0.3">
      <c r="B231" s="133">
        <v>3</v>
      </c>
      <c r="C231" s="151" t="s">
        <v>688</v>
      </c>
      <c r="D231" s="227">
        <v>6</v>
      </c>
      <c r="E231" s="135"/>
      <c r="F231" s="135"/>
      <c r="G231" s="135"/>
      <c r="H231" s="138"/>
      <c r="I231" s="135">
        <f>IFERROR(VLOOKUP(C231,'02_TCT GUADAMUR'!$F$41:$R$45,13,FALSE),"")</f>
        <v>20</v>
      </c>
      <c r="J231" s="135">
        <f>IFERROR(VLOOKUP(C231,'02_TCT GUADAMUR'!$F$41:$T$45,15,FALSE),"")</f>
        <v>8</v>
      </c>
      <c r="K231" s="138">
        <f t="shared" si="38"/>
        <v>28</v>
      </c>
      <c r="L231" s="135"/>
      <c r="M231" s="135"/>
      <c r="N231" s="138"/>
      <c r="O231" s="135"/>
      <c r="P231" s="135"/>
      <c r="Q231" s="138"/>
      <c r="R231" s="135"/>
      <c r="S231" s="135"/>
      <c r="T231" s="138"/>
      <c r="U231" s="135"/>
      <c r="V231" s="135"/>
      <c r="W231" s="138"/>
      <c r="X231" s="139">
        <f t="shared" si="39"/>
        <v>28</v>
      </c>
      <c r="Y231" s="140" t="str">
        <f t="shared" si="36"/>
        <v>No</v>
      </c>
      <c r="Z231" s="141">
        <f t="shared" si="40"/>
        <v>1</v>
      </c>
    </row>
    <row r="232" spans="2:28" ht="12.75" customHeight="1" x14ac:dyDescent="0.3">
      <c r="B232" s="133">
        <v>4</v>
      </c>
      <c r="C232" s="151" t="s">
        <v>690</v>
      </c>
      <c r="D232" s="227">
        <v>6</v>
      </c>
      <c r="E232" s="135"/>
      <c r="F232" s="135"/>
      <c r="G232" s="135"/>
      <c r="H232" s="138"/>
      <c r="I232" s="135">
        <f>IFERROR(VLOOKUP(C232,'02_TCT GUADAMUR'!$F$41:$R$45,13,FALSE),"")</f>
        <v>17</v>
      </c>
      <c r="J232" s="135">
        <f>IFERROR(VLOOKUP(C232,'02_TCT GUADAMUR'!$F$41:$T$45,15,FALSE),"")</f>
        <v>6</v>
      </c>
      <c r="K232" s="138">
        <f t="shared" si="38"/>
        <v>23</v>
      </c>
      <c r="L232" s="135"/>
      <c r="M232" s="135"/>
      <c r="N232" s="138"/>
      <c r="O232" s="135"/>
      <c r="P232" s="135"/>
      <c r="Q232" s="138"/>
      <c r="R232" s="135"/>
      <c r="S232" s="135"/>
      <c r="T232" s="138"/>
      <c r="U232" s="135"/>
      <c r="V232" s="135"/>
      <c r="W232" s="138"/>
      <c r="X232" s="139">
        <f t="shared" si="39"/>
        <v>23</v>
      </c>
      <c r="Y232" s="140" t="str">
        <f t="shared" si="36"/>
        <v>No</v>
      </c>
      <c r="Z232" s="141">
        <f t="shared" si="40"/>
        <v>1</v>
      </c>
    </row>
    <row r="233" spans="2:28" ht="13" x14ac:dyDescent="0.3">
      <c r="B233" s="152"/>
      <c r="C233" s="153"/>
      <c r="D233" s="154"/>
      <c r="E233" s="154"/>
      <c r="F233" s="154"/>
      <c r="G233" s="154"/>
      <c r="H233" s="146"/>
      <c r="I233" s="154"/>
      <c r="J233" s="154"/>
      <c r="K233" s="155"/>
      <c r="L233" s="155"/>
      <c r="M233" s="155"/>
      <c r="N233" s="155"/>
      <c r="O233" s="155"/>
      <c r="P233" s="4"/>
      <c r="Q233" s="4"/>
      <c r="R233" s="155"/>
      <c r="S233" s="4"/>
      <c r="T233" s="4"/>
      <c r="U233" s="4"/>
      <c r="V233" s="4"/>
      <c r="W233" s="4"/>
      <c r="X233" s="4"/>
      <c r="Y233" s="149"/>
      <c r="Z233" s="127"/>
    </row>
    <row r="234" spans="2:28" ht="12.75" customHeight="1" x14ac:dyDescent="0.3">
      <c r="B234" s="1"/>
      <c r="C234" s="235"/>
      <c r="D234" s="284"/>
      <c r="E234" s="285" t="s">
        <v>534</v>
      </c>
      <c r="F234" s="147"/>
      <c r="G234" s="147"/>
      <c r="H234" s="147"/>
      <c r="I234" s="147"/>
      <c r="J234" s="147"/>
      <c r="K234" s="147"/>
      <c r="L234" s="147"/>
      <c r="M234" s="147"/>
      <c r="N234" s="147"/>
      <c r="O234" s="147"/>
      <c r="P234" s="147"/>
      <c r="Q234" s="147"/>
      <c r="R234" s="147"/>
      <c r="S234" s="147"/>
      <c r="T234" s="147"/>
      <c r="U234" s="147"/>
      <c r="V234" s="147"/>
      <c r="W234" s="147"/>
      <c r="X234" s="147"/>
      <c r="Y234" s="147"/>
      <c r="Z234" s="147"/>
      <c r="AA234" s="148"/>
      <c r="AB234" s="262"/>
    </row>
    <row r="235" spans="2:28" ht="13" x14ac:dyDescent="0.3">
      <c r="B235" s="152"/>
      <c r="C235" s="153"/>
      <c r="D235" s="154"/>
      <c r="E235" s="154"/>
      <c r="F235" s="154"/>
      <c r="G235" s="154"/>
      <c r="H235" s="146"/>
      <c r="I235" s="154"/>
      <c r="J235" s="154"/>
      <c r="K235" s="155"/>
      <c r="L235" s="155"/>
      <c r="M235" s="155"/>
      <c r="N235" s="155"/>
      <c r="O235" s="155"/>
      <c r="P235" s="155"/>
      <c r="Q235" s="155"/>
      <c r="R235" s="155"/>
      <c r="S235" s="155"/>
      <c r="T235" s="155"/>
      <c r="U235" s="155"/>
      <c r="V235" s="155"/>
      <c r="W235" s="155"/>
      <c r="X235" s="155"/>
      <c r="Y235" s="149"/>
      <c r="Z235" s="127"/>
    </row>
    <row r="236" spans="2:28" ht="13" x14ac:dyDescent="0.3">
      <c r="B236" s="152"/>
      <c r="C236" s="153"/>
      <c r="D236" s="154"/>
      <c r="E236" s="154"/>
      <c r="F236" s="154"/>
      <c r="G236" s="154"/>
      <c r="H236" s="146"/>
      <c r="I236" s="154"/>
      <c r="J236" s="154"/>
      <c r="K236" s="155"/>
      <c r="L236" s="155"/>
      <c r="M236" s="155"/>
      <c r="N236" s="155"/>
      <c r="O236" s="155"/>
      <c r="P236" s="155"/>
      <c r="Q236" s="155"/>
      <c r="R236" s="155"/>
      <c r="S236" s="155"/>
      <c r="T236" s="155"/>
      <c r="U236" s="155"/>
      <c r="V236" s="155"/>
      <c r="W236" s="155"/>
      <c r="X236" s="155"/>
      <c r="Y236" s="149"/>
      <c r="Z236" s="127"/>
    </row>
    <row r="237" spans="2:28" ht="39" customHeight="1" x14ac:dyDescent="0.55000000000000004">
      <c r="B237" s="164" t="s">
        <v>518</v>
      </c>
      <c r="C237" s="165"/>
      <c r="D237" s="165"/>
      <c r="E237" s="165"/>
      <c r="F237" s="165"/>
      <c r="G237" s="165"/>
      <c r="H237" s="165"/>
      <c r="I237" s="165"/>
      <c r="J237" s="165"/>
      <c r="K237" s="165"/>
      <c r="L237" s="165"/>
      <c r="M237" s="165"/>
      <c r="N237" s="165"/>
      <c r="O237" s="165"/>
      <c r="P237" s="165"/>
      <c r="Q237" s="165"/>
      <c r="R237" s="165"/>
      <c r="S237" s="165"/>
      <c r="T237" s="165"/>
      <c r="U237" s="165"/>
      <c r="V237" s="165"/>
      <c r="W237" s="165"/>
      <c r="X237" s="165"/>
    </row>
    <row r="238" spans="2:28" ht="37.5" customHeight="1" x14ac:dyDescent="0.3">
      <c r="B238" s="166" t="s">
        <v>224</v>
      </c>
      <c r="C238" s="167"/>
      <c r="D238" s="167"/>
      <c r="E238" s="167"/>
      <c r="F238" s="167"/>
      <c r="G238" s="167"/>
      <c r="H238" s="167"/>
      <c r="I238" s="167"/>
      <c r="J238" s="167"/>
      <c r="K238" s="167"/>
      <c r="L238" s="167"/>
      <c r="M238" s="167"/>
      <c r="N238" s="167"/>
      <c r="O238" s="167"/>
      <c r="P238" s="167"/>
      <c r="Q238" s="167"/>
      <c r="R238" s="167"/>
      <c r="S238" s="167"/>
      <c r="T238" s="167"/>
      <c r="U238" s="167"/>
      <c r="V238" s="167"/>
      <c r="W238" s="167"/>
      <c r="X238" s="167"/>
      <c r="Y238" s="30"/>
      <c r="Z238" s="30"/>
    </row>
    <row r="239" spans="2:28" ht="12.75" customHeight="1" x14ac:dyDescent="0.3">
      <c r="B239" s="162"/>
      <c r="C239" s="168"/>
      <c r="D239" s="161"/>
      <c r="E239" s="161"/>
      <c r="F239" s="222" t="s">
        <v>220</v>
      </c>
      <c r="G239" s="223"/>
      <c r="H239" s="224"/>
      <c r="I239" s="222" t="s">
        <v>663</v>
      </c>
      <c r="J239" s="225"/>
      <c r="K239" s="226"/>
      <c r="L239" s="222" t="s">
        <v>532</v>
      </c>
      <c r="M239" s="225"/>
      <c r="N239" s="226"/>
      <c r="O239" s="222" t="s">
        <v>526</v>
      </c>
      <c r="P239" s="225"/>
      <c r="Q239" s="226"/>
      <c r="R239" s="222" t="s">
        <v>287</v>
      </c>
      <c r="S239" s="225"/>
      <c r="T239" s="226"/>
      <c r="U239" s="413" t="s">
        <v>527</v>
      </c>
      <c r="V239" s="226"/>
      <c r="W239" s="226"/>
      <c r="X239" s="161" t="s">
        <v>213</v>
      </c>
      <c r="Y239" s="30"/>
      <c r="Z239" s="30"/>
    </row>
    <row r="240" spans="2:28" ht="12.75" customHeight="1" x14ac:dyDescent="0.3">
      <c r="B240" s="159" t="s">
        <v>0</v>
      </c>
      <c r="C240" s="170" t="s">
        <v>1</v>
      </c>
      <c r="D240" s="160" t="s">
        <v>2</v>
      </c>
      <c r="E240" s="160" t="s">
        <v>3</v>
      </c>
      <c r="F240" s="217" t="s">
        <v>523</v>
      </c>
      <c r="G240" s="218"/>
      <c r="H240" s="219"/>
      <c r="I240" s="217" t="s">
        <v>525</v>
      </c>
      <c r="J240" s="220"/>
      <c r="K240" s="221"/>
      <c r="L240" s="217" t="s">
        <v>664</v>
      </c>
      <c r="M240" s="220"/>
      <c r="N240" s="221"/>
      <c r="O240" s="217" t="s">
        <v>529</v>
      </c>
      <c r="P240" s="220"/>
      <c r="Q240" s="221"/>
      <c r="R240" s="217" t="s">
        <v>530</v>
      </c>
      <c r="S240" s="220"/>
      <c r="T240" s="221"/>
      <c r="U240" s="414" t="s">
        <v>528</v>
      </c>
      <c r="V240" s="255"/>
      <c r="W240" s="415"/>
      <c r="X240" s="160" t="s">
        <v>9</v>
      </c>
      <c r="Y240" s="519" t="s">
        <v>223</v>
      </c>
      <c r="Z240" s="521" t="s">
        <v>4</v>
      </c>
    </row>
    <row r="241" spans="2:28" ht="12.75" customHeight="1" x14ac:dyDescent="0.3">
      <c r="B241" s="163"/>
      <c r="C241" s="169"/>
      <c r="D241" s="157"/>
      <c r="E241" s="157"/>
      <c r="F241" s="131" t="s">
        <v>33</v>
      </c>
      <c r="G241" s="131" t="s">
        <v>34</v>
      </c>
      <c r="H241" s="132" t="s">
        <v>35</v>
      </c>
      <c r="I241" s="131" t="s">
        <v>33</v>
      </c>
      <c r="J241" s="131" t="s">
        <v>34</v>
      </c>
      <c r="K241" s="132" t="s">
        <v>35</v>
      </c>
      <c r="L241" s="131" t="s">
        <v>33</v>
      </c>
      <c r="M241" s="131" t="s">
        <v>34</v>
      </c>
      <c r="N241" s="132" t="s">
        <v>35</v>
      </c>
      <c r="O241" s="131" t="s">
        <v>33</v>
      </c>
      <c r="P241" s="131" t="s">
        <v>34</v>
      </c>
      <c r="Q241" s="132" t="s">
        <v>35</v>
      </c>
      <c r="R241" s="131" t="s">
        <v>33</v>
      </c>
      <c r="S241" s="131" t="s">
        <v>34</v>
      </c>
      <c r="T241" s="132" t="s">
        <v>35</v>
      </c>
      <c r="U241" s="131" t="s">
        <v>33</v>
      </c>
      <c r="V241" s="131" t="s">
        <v>34</v>
      </c>
      <c r="W241" s="132" t="s">
        <v>35</v>
      </c>
      <c r="X241" s="157"/>
      <c r="Y241" s="520"/>
      <c r="Z241" s="522"/>
    </row>
    <row r="242" spans="2:28" ht="12.75" customHeight="1" x14ac:dyDescent="0.3">
      <c r="B242" s="133">
        <v>1</v>
      </c>
      <c r="C242" s="142" t="s">
        <v>639</v>
      </c>
      <c r="D242" s="227">
        <v>7</v>
      </c>
      <c r="E242" s="227"/>
      <c r="F242" s="135">
        <f>IFERROR(VLOOKUP(C242,'01_RS ALCARRIA'!$D$50:$M$55,10,FALSE),"")</f>
        <v>25</v>
      </c>
      <c r="G242" s="135">
        <f>IFERROR(VLOOKUP(C242,'01_RS ALCARRIA'!$D$50:$O$55,12,FALSE),"")</f>
        <v>10</v>
      </c>
      <c r="H242" s="138">
        <f>(F242+G242)*2</f>
        <v>70</v>
      </c>
      <c r="I242" s="135">
        <f>IFERROR(VLOOKUP(C242,'02_TCT GUADAMUR'!$D$50:$M$55,10,FALSE),"")</f>
        <v>25</v>
      </c>
      <c r="J242" s="135">
        <f>IFERROR(VLOOKUP(C242,'02_TCT GUADAMUR'!$D$50:$O$55,12,FALSE),"")</f>
        <v>10</v>
      </c>
      <c r="K242" s="138">
        <f>(I242+J242)</f>
        <v>35</v>
      </c>
      <c r="L242" s="135"/>
      <c r="M242" s="135"/>
      <c r="N242" s="138"/>
      <c r="O242" s="135"/>
      <c r="P242" s="135"/>
      <c r="Q242" s="138"/>
      <c r="R242" s="135"/>
      <c r="S242" s="135"/>
      <c r="T242" s="138"/>
      <c r="U242" s="135"/>
      <c r="V242" s="135"/>
      <c r="W242" s="138"/>
      <c r="X242" s="139">
        <f>H242+K242+N242+Q242+T242+W242</f>
        <v>105</v>
      </c>
      <c r="Y242" s="140" t="str">
        <f t="shared" ref="Y242:Y247" si="41">IF(Z242&gt;=3,"Sí","No")</f>
        <v>No</v>
      </c>
      <c r="Z242" s="141">
        <f>COUNTA(H242,K242,N242,Q242,T242,W242)</f>
        <v>2</v>
      </c>
    </row>
    <row r="243" spans="2:28" ht="13" x14ac:dyDescent="0.3">
      <c r="B243" s="133">
        <v>2</v>
      </c>
      <c r="C243" s="142" t="s">
        <v>655</v>
      </c>
      <c r="D243" s="227">
        <v>7</v>
      </c>
      <c r="E243" s="227"/>
      <c r="F243" s="135">
        <f>IFERROR(VLOOKUP(C243,'01_RS ALCARRIA'!$D$50:$M$55,10,FALSE),"")</f>
        <v>20</v>
      </c>
      <c r="G243" s="135">
        <f>IFERROR(VLOOKUP(C243,'01_RS ALCARRIA'!$D$50:$O$55,12,FALSE),"")</f>
        <v>8</v>
      </c>
      <c r="H243" s="138">
        <f t="shared" ref="H243:H247" si="42">(F243+G243)*2</f>
        <v>56</v>
      </c>
      <c r="I243" s="135">
        <f>IFERROR(VLOOKUP(C243,'02_TCT GUADAMUR'!$D$50:$M$55,10,FALSE),"")</f>
        <v>20</v>
      </c>
      <c r="J243" s="135">
        <f>IFERROR(VLOOKUP(C243,'02_TCT GUADAMUR'!$D$50:$O$55,12,FALSE),"")</f>
        <v>8</v>
      </c>
      <c r="K243" s="138">
        <f t="shared" ref="K243:K247" si="43">(I243+J243)</f>
        <v>28</v>
      </c>
      <c r="L243" s="135"/>
      <c r="M243" s="135"/>
      <c r="N243" s="138"/>
      <c r="O243" s="135"/>
      <c r="P243" s="135"/>
      <c r="Q243" s="138"/>
      <c r="R243" s="135"/>
      <c r="S243" s="135"/>
      <c r="T243" s="138"/>
      <c r="U243" s="135"/>
      <c r="V243" s="135"/>
      <c r="W243" s="138"/>
      <c r="X243" s="139">
        <f t="shared" ref="X243:X247" si="44">H243+K243+N243+Q243+T243+W243</f>
        <v>84</v>
      </c>
      <c r="Y243" s="140" t="str">
        <f t="shared" si="41"/>
        <v>No</v>
      </c>
      <c r="Z243" s="141">
        <f t="shared" ref="Z243:Z247" si="45">COUNTA(H243,K243,N243,Q243,T243,W243)</f>
        <v>2</v>
      </c>
    </row>
    <row r="244" spans="2:28" ht="13" x14ac:dyDescent="0.3">
      <c r="B244" s="133">
        <v>3</v>
      </c>
      <c r="C244" s="134" t="s">
        <v>264</v>
      </c>
      <c r="D244" s="227">
        <v>7</v>
      </c>
      <c r="E244" s="227"/>
      <c r="F244" s="135">
        <f>IFERROR(VLOOKUP(C244,'01_RS ALCARRIA'!$D$50:$M$55,10,FALSE),"")</f>
        <v>17</v>
      </c>
      <c r="G244" s="135">
        <f>IFERROR(VLOOKUP(C244,'01_RS ALCARRIA'!$D$50:$O$55,12,FALSE),"")</f>
        <v>6</v>
      </c>
      <c r="H244" s="138">
        <f t="shared" si="42"/>
        <v>46</v>
      </c>
      <c r="I244" s="135"/>
      <c r="J244" s="135"/>
      <c r="K244" s="138"/>
      <c r="L244" s="135"/>
      <c r="M244" s="135"/>
      <c r="N244" s="138"/>
      <c r="O244" s="135"/>
      <c r="P244" s="135"/>
      <c r="Q244" s="138"/>
      <c r="R244" s="135"/>
      <c r="S244" s="135"/>
      <c r="T244" s="138"/>
      <c r="U244" s="135"/>
      <c r="V244" s="135"/>
      <c r="W244" s="138"/>
      <c r="X244" s="139">
        <f t="shared" si="44"/>
        <v>46</v>
      </c>
      <c r="Y244" s="140" t="str">
        <f t="shared" si="41"/>
        <v>No</v>
      </c>
      <c r="Z244" s="141">
        <f t="shared" si="45"/>
        <v>1</v>
      </c>
    </row>
    <row r="245" spans="2:28" ht="13" x14ac:dyDescent="0.3">
      <c r="B245" s="133">
        <v>4</v>
      </c>
      <c r="C245" s="134" t="s">
        <v>642</v>
      </c>
      <c r="D245" s="227">
        <v>7</v>
      </c>
      <c r="E245" s="227"/>
      <c r="F245" s="135">
        <f>IFERROR(VLOOKUP(C245,'01_RS ALCARRIA'!$D$50:$M$55,10,FALSE),"")</f>
        <v>15</v>
      </c>
      <c r="G245" s="135">
        <f>IFERROR(VLOOKUP(C245,'01_RS ALCARRIA'!$D$50:$O$55,12,FALSE),"")</f>
        <v>5</v>
      </c>
      <c r="H245" s="138">
        <f t="shared" si="42"/>
        <v>40</v>
      </c>
      <c r="I245" s="135">
        <v>0</v>
      </c>
      <c r="J245" s="135">
        <v>0</v>
      </c>
      <c r="K245" s="138">
        <f t="shared" si="43"/>
        <v>0</v>
      </c>
      <c r="L245" s="135"/>
      <c r="M245" s="135"/>
      <c r="N245" s="138"/>
      <c r="O245" s="135"/>
      <c r="P245" s="135"/>
      <c r="Q245" s="138"/>
      <c r="R245" s="135"/>
      <c r="S245" s="135"/>
      <c r="T245" s="138"/>
      <c r="U245" s="135"/>
      <c r="V245" s="135"/>
      <c r="W245" s="138"/>
      <c r="X245" s="139">
        <f t="shared" si="44"/>
        <v>40</v>
      </c>
      <c r="Y245" s="140" t="str">
        <f t="shared" si="41"/>
        <v>No</v>
      </c>
      <c r="Z245" s="141">
        <f t="shared" si="45"/>
        <v>2</v>
      </c>
    </row>
    <row r="246" spans="2:28" ht="13" x14ac:dyDescent="0.3">
      <c r="B246" s="133">
        <v>5</v>
      </c>
      <c r="C246" s="134" t="s">
        <v>643</v>
      </c>
      <c r="D246" s="227">
        <v>7</v>
      </c>
      <c r="E246" s="227"/>
      <c r="F246" s="135">
        <f>IFERROR(VLOOKUP(C246,'01_RS ALCARRIA'!$D$50:$M$55,10,FALSE),"")</f>
        <v>12</v>
      </c>
      <c r="G246" s="135">
        <f>IFERROR(VLOOKUP(C246,'01_RS ALCARRIA'!$D$50:$O$55,12,FALSE),"")</f>
        <v>3</v>
      </c>
      <c r="H246" s="138">
        <f t="shared" si="42"/>
        <v>30</v>
      </c>
      <c r="I246" s="135"/>
      <c r="J246" s="135"/>
      <c r="K246" s="138"/>
      <c r="L246" s="135"/>
      <c r="M246" s="135"/>
      <c r="N246" s="138"/>
      <c r="O246" s="135"/>
      <c r="P246" s="135"/>
      <c r="Q246" s="138"/>
      <c r="R246" s="135"/>
      <c r="S246" s="135"/>
      <c r="T246" s="138"/>
      <c r="U246" s="135"/>
      <c r="V246" s="135"/>
      <c r="W246" s="138"/>
      <c r="X246" s="139">
        <f t="shared" si="44"/>
        <v>30</v>
      </c>
      <c r="Y246" s="140" t="str">
        <f t="shared" si="41"/>
        <v>No</v>
      </c>
      <c r="Z246" s="141">
        <f t="shared" si="45"/>
        <v>1</v>
      </c>
    </row>
    <row r="247" spans="2:28" ht="13" x14ac:dyDescent="0.3">
      <c r="B247" s="133">
        <v>6</v>
      </c>
      <c r="C247" s="134" t="s">
        <v>644</v>
      </c>
      <c r="D247" s="227">
        <v>7</v>
      </c>
      <c r="E247" s="227"/>
      <c r="F247" s="135">
        <v>0</v>
      </c>
      <c r="G247" s="135">
        <v>0</v>
      </c>
      <c r="H247" s="138">
        <f t="shared" si="42"/>
        <v>0</v>
      </c>
      <c r="I247" s="135">
        <f>IFERROR(VLOOKUP(C247,'02_TCT GUADAMUR'!$D$50:$M$55,10,FALSE),"")</f>
        <v>17</v>
      </c>
      <c r="J247" s="135">
        <f>IFERROR(VLOOKUP(C247,'02_TCT GUADAMUR'!$D$50:$O$55,12,FALSE),"")</f>
        <v>6</v>
      </c>
      <c r="K247" s="138">
        <f t="shared" si="43"/>
        <v>23</v>
      </c>
      <c r="L247" s="135"/>
      <c r="M247" s="135"/>
      <c r="N247" s="138"/>
      <c r="O247" s="135"/>
      <c r="P247" s="135"/>
      <c r="Q247" s="138"/>
      <c r="R247" s="135"/>
      <c r="S247" s="135"/>
      <c r="T247" s="138"/>
      <c r="U247" s="135"/>
      <c r="V247" s="135"/>
      <c r="W247" s="138"/>
      <c r="X247" s="139">
        <f t="shared" si="44"/>
        <v>23</v>
      </c>
      <c r="Y247" s="140" t="str">
        <f t="shared" si="41"/>
        <v>No</v>
      </c>
      <c r="Z247" s="141">
        <f t="shared" si="45"/>
        <v>2</v>
      </c>
    </row>
    <row r="248" spans="2:28" ht="13" x14ac:dyDescent="0.3">
      <c r="B248" s="152"/>
      <c r="C248" s="242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127"/>
    </row>
    <row r="249" spans="2:28" ht="12.75" customHeight="1" x14ac:dyDescent="0.3">
      <c r="B249" s="1"/>
      <c r="C249" s="235"/>
      <c r="D249" s="284"/>
      <c r="E249" s="285" t="s">
        <v>534</v>
      </c>
      <c r="F249" s="147"/>
      <c r="G249" s="147"/>
      <c r="H249" s="147"/>
      <c r="I249" s="147"/>
      <c r="J249" s="147"/>
      <c r="K249" s="147"/>
      <c r="L249" s="147"/>
      <c r="M249" s="147"/>
      <c r="N249" s="147"/>
      <c r="O249" s="147"/>
      <c r="P249" s="147"/>
      <c r="Q249" s="147"/>
      <c r="R249" s="147"/>
      <c r="S249" s="147"/>
      <c r="T249" s="147"/>
      <c r="U249" s="147"/>
      <c r="V249" s="147"/>
      <c r="W249" s="147"/>
      <c r="X249" s="147"/>
      <c r="Y249" s="147"/>
      <c r="Z249" s="147"/>
      <c r="AA249" s="148"/>
      <c r="AB249" s="262"/>
    </row>
    <row r="250" spans="2:28" ht="3" customHeight="1" x14ac:dyDescent="0.3">
      <c r="B250" s="1"/>
      <c r="C250" s="235"/>
      <c r="D250" s="154"/>
      <c r="E250" s="285"/>
      <c r="F250" s="147"/>
      <c r="G250" s="147"/>
      <c r="H250" s="147"/>
      <c r="I250" s="147"/>
      <c r="J250" s="147"/>
      <c r="K250" s="147"/>
      <c r="L250" s="147"/>
      <c r="M250" s="147"/>
      <c r="N250" s="147"/>
      <c r="O250" s="147"/>
      <c r="P250" s="147"/>
      <c r="Q250" s="147"/>
      <c r="R250" s="147"/>
      <c r="S250" s="147"/>
      <c r="T250" s="147"/>
      <c r="U250" s="147"/>
      <c r="V250" s="147"/>
      <c r="W250" s="147"/>
      <c r="X250" s="147"/>
      <c r="Y250" s="147"/>
      <c r="Z250" s="147"/>
      <c r="AA250" s="148"/>
      <c r="AB250" s="262"/>
    </row>
    <row r="251" spans="2:28" ht="13" x14ac:dyDescent="0.3">
      <c r="B251" s="4"/>
      <c r="C251" s="4"/>
      <c r="D251" s="142" t="s">
        <v>691</v>
      </c>
      <c r="E251" s="130" t="s">
        <v>692</v>
      </c>
      <c r="F251" s="155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149"/>
      <c r="Z251" s="127"/>
    </row>
    <row r="252" spans="2:28" ht="39" customHeight="1" x14ac:dyDescent="0.55000000000000004">
      <c r="B252" s="164" t="s">
        <v>518</v>
      </c>
      <c r="C252" s="165"/>
      <c r="D252" s="165"/>
      <c r="E252" s="165"/>
      <c r="F252" s="165"/>
      <c r="G252" s="165"/>
      <c r="H252" s="165"/>
      <c r="I252" s="165"/>
      <c r="J252" s="165"/>
      <c r="K252" s="165"/>
      <c r="L252" s="165"/>
      <c r="M252" s="165"/>
      <c r="N252" s="165"/>
      <c r="O252" s="165"/>
      <c r="P252" s="165"/>
      <c r="Q252" s="165"/>
      <c r="R252" s="165"/>
      <c r="S252" s="165"/>
      <c r="T252" s="165"/>
      <c r="U252" s="165"/>
      <c r="V252" s="165"/>
      <c r="W252" s="165"/>
      <c r="X252" s="165"/>
    </row>
    <row r="253" spans="2:28" ht="37.5" customHeight="1" x14ac:dyDescent="0.3">
      <c r="B253" s="166" t="s">
        <v>338</v>
      </c>
      <c r="C253" s="167"/>
      <c r="D253" s="167"/>
      <c r="E253" s="167"/>
      <c r="F253" s="167"/>
      <c r="G253" s="167"/>
      <c r="H253" s="167"/>
      <c r="I253" s="167"/>
      <c r="J253" s="167"/>
      <c r="K253" s="167"/>
      <c r="L253" s="167"/>
      <c r="M253" s="167"/>
      <c r="N253" s="167"/>
      <c r="O253" s="167"/>
      <c r="P253" s="167"/>
      <c r="Q253" s="167"/>
      <c r="R253" s="167"/>
      <c r="S253" s="167"/>
      <c r="T253" s="167"/>
      <c r="U253" s="167"/>
      <c r="V253" s="167"/>
      <c r="W253" s="167"/>
      <c r="X253" s="167"/>
      <c r="Y253" s="30"/>
      <c r="Z253" s="30"/>
    </row>
    <row r="254" spans="2:28" ht="12.75" customHeight="1" x14ac:dyDescent="0.3">
      <c r="B254" s="162"/>
      <c r="C254" s="168"/>
      <c r="D254" s="161"/>
      <c r="E254" s="161"/>
      <c r="F254" s="222" t="s">
        <v>220</v>
      </c>
      <c r="G254" s="223"/>
      <c r="H254" s="224"/>
      <c r="I254" s="222" t="s">
        <v>663</v>
      </c>
      <c r="J254" s="225"/>
      <c r="K254" s="226"/>
      <c r="L254" s="222" t="s">
        <v>532</v>
      </c>
      <c r="M254" s="225"/>
      <c r="N254" s="226"/>
      <c r="O254" s="222" t="s">
        <v>526</v>
      </c>
      <c r="P254" s="225"/>
      <c r="Q254" s="226"/>
      <c r="R254" s="222" t="s">
        <v>287</v>
      </c>
      <c r="S254" s="225"/>
      <c r="T254" s="226"/>
      <c r="U254" s="413" t="s">
        <v>527</v>
      </c>
      <c r="V254" s="226"/>
      <c r="W254" s="226"/>
      <c r="X254" s="161" t="s">
        <v>213</v>
      </c>
      <c r="Y254" s="30"/>
      <c r="Z254" s="30"/>
    </row>
    <row r="255" spans="2:28" ht="12.75" customHeight="1" x14ac:dyDescent="0.3">
      <c r="B255" s="159" t="s">
        <v>0</v>
      </c>
      <c r="C255" s="170" t="s">
        <v>166</v>
      </c>
      <c r="D255" s="160" t="s">
        <v>2</v>
      </c>
      <c r="E255" s="160" t="s">
        <v>3</v>
      </c>
      <c r="F255" s="217" t="s">
        <v>523</v>
      </c>
      <c r="G255" s="218"/>
      <c r="H255" s="219"/>
      <c r="I255" s="217" t="s">
        <v>525</v>
      </c>
      <c r="J255" s="220"/>
      <c r="K255" s="221"/>
      <c r="L255" s="217" t="s">
        <v>664</v>
      </c>
      <c r="M255" s="220"/>
      <c r="N255" s="221"/>
      <c r="O255" s="217" t="s">
        <v>529</v>
      </c>
      <c r="P255" s="220"/>
      <c r="Q255" s="221"/>
      <c r="R255" s="217" t="s">
        <v>530</v>
      </c>
      <c r="S255" s="220"/>
      <c r="T255" s="221"/>
      <c r="U255" s="414" t="s">
        <v>528</v>
      </c>
      <c r="V255" s="255"/>
      <c r="W255" s="415"/>
      <c r="X255" s="160" t="s">
        <v>9</v>
      </c>
      <c r="Y255" s="519" t="s">
        <v>223</v>
      </c>
      <c r="Z255" s="521" t="s">
        <v>4</v>
      </c>
    </row>
    <row r="256" spans="2:28" ht="12.75" customHeight="1" x14ac:dyDescent="0.3">
      <c r="B256" s="163"/>
      <c r="C256" s="169"/>
      <c r="D256" s="157"/>
      <c r="E256" s="157"/>
      <c r="F256" s="131" t="s">
        <v>33</v>
      </c>
      <c r="G256" s="131" t="s">
        <v>34</v>
      </c>
      <c r="H256" s="132" t="s">
        <v>35</v>
      </c>
      <c r="I256" s="131" t="s">
        <v>33</v>
      </c>
      <c r="J256" s="131" t="s">
        <v>34</v>
      </c>
      <c r="K256" s="132" t="s">
        <v>35</v>
      </c>
      <c r="L256" s="131" t="s">
        <v>33</v>
      </c>
      <c r="M256" s="131" t="s">
        <v>34</v>
      </c>
      <c r="N256" s="132" t="s">
        <v>35</v>
      </c>
      <c r="O256" s="131" t="s">
        <v>33</v>
      </c>
      <c r="P256" s="131" t="s">
        <v>34</v>
      </c>
      <c r="Q256" s="132" t="s">
        <v>35</v>
      </c>
      <c r="R256" s="131" t="s">
        <v>33</v>
      </c>
      <c r="S256" s="131" t="s">
        <v>34</v>
      </c>
      <c r="T256" s="132" t="s">
        <v>35</v>
      </c>
      <c r="U256" s="131" t="s">
        <v>33</v>
      </c>
      <c r="V256" s="131" t="s">
        <v>34</v>
      </c>
      <c r="W256" s="132" t="s">
        <v>35</v>
      </c>
      <c r="X256" s="157"/>
      <c r="Y256" s="520"/>
      <c r="Z256" s="522"/>
    </row>
    <row r="257" spans="2:28" ht="12.75" customHeight="1" x14ac:dyDescent="0.3">
      <c r="B257" s="133">
        <v>1</v>
      </c>
      <c r="C257" s="134" t="s">
        <v>358</v>
      </c>
      <c r="D257" s="227">
        <v>7</v>
      </c>
      <c r="E257" s="227"/>
      <c r="F257" s="135">
        <f>IFERROR(VLOOKUP(C257,'01_RS ALCARRIA'!$F$50:$R$55,13,FALSE),"")</f>
        <v>25</v>
      </c>
      <c r="G257" s="135">
        <f>IFERROR(VLOOKUP(C257,'01_RS ALCARRIA'!$F$50:$T$55,15,FALSE),"")</f>
        <v>10</v>
      </c>
      <c r="H257" s="138">
        <f>(F257+G257)*2</f>
        <v>70</v>
      </c>
      <c r="I257" s="135">
        <f>IFERROR(VLOOKUP(C257,'02_TCT GUADAMUR'!$F$50:$R$55,13,FALSE),"")</f>
        <v>25</v>
      </c>
      <c r="J257" s="135">
        <f>IFERROR(VLOOKUP(C257,'02_TCT GUADAMUR'!$F$50:$T$55,15,FALSE),"")</f>
        <v>10</v>
      </c>
      <c r="K257" s="138">
        <f>(I257+J257)</f>
        <v>35</v>
      </c>
      <c r="L257" s="135"/>
      <c r="M257" s="135"/>
      <c r="N257" s="138"/>
      <c r="O257" s="135"/>
      <c r="P257" s="135"/>
      <c r="Q257" s="138"/>
      <c r="R257" s="135"/>
      <c r="S257" s="135"/>
      <c r="T257" s="138"/>
      <c r="U257" s="135"/>
      <c r="V257" s="135"/>
      <c r="W257" s="138"/>
      <c r="X257" s="139">
        <f>H257+K257+N257+Q257+T257+W257</f>
        <v>105</v>
      </c>
      <c r="Y257" s="140" t="str">
        <f t="shared" ref="Y257:Y262" si="46">IF(Z257&gt;=3,"Sí","No")</f>
        <v>No</v>
      </c>
      <c r="Z257" s="141">
        <f>COUNTA(H257,K257,N257,Q257,T257,W257)</f>
        <v>2</v>
      </c>
    </row>
    <row r="258" spans="2:28" ht="13" x14ac:dyDescent="0.3">
      <c r="B258" s="133">
        <v>2</v>
      </c>
      <c r="C258" s="134" t="s">
        <v>360</v>
      </c>
      <c r="D258" s="227">
        <v>7</v>
      </c>
      <c r="E258" s="227"/>
      <c r="F258" s="135">
        <f>IFERROR(VLOOKUP(C258,'01_RS ALCARRIA'!$F$50:$R$55,13,FALSE),"")</f>
        <v>20</v>
      </c>
      <c r="G258" s="135">
        <f>IFERROR(VLOOKUP(C258,'01_RS ALCARRIA'!$F$50:$T$55,15,FALSE),"")</f>
        <v>8</v>
      </c>
      <c r="H258" s="138">
        <f t="shared" ref="H258:H262" si="47">(F258+G258)*2</f>
        <v>56</v>
      </c>
      <c r="I258" s="135">
        <f>IFERROR(VLOOKUP(C258,'02_TCT GUADAMUR'!$F$50:$R$55,13,FALSE),"")</f>
        <v>20</v>
      </c>
      <c r="J258" s="135">
        <f>IFERROR(VLOOKUP(C258,'02_TCT GUADAMUR'!$F$50:$T$55,15,FALSE),"")</f>
        <v>8</v>
      </c>
      <c r="K258" s="138">
        <f t="shared" ref="K258:K262" si="48">(I258+J258)</f>
        <v>28</v>
      </c>
      <c r="L258" s="135"/>
      <c r="M258" s="135"/>
      <c r="N258" s="138"/>
      <c r="O258" s="135"/>
      <c r="P258" s="135"/>
      <c r="Q258" s="138"/>
      <c r="R258" s="135"/>
      <c r="S258" s="135"/>
      <c r="T258" s="138"/>
      <c r="U258" s="135"/>
      <c r="V258" s="135"/>
      <c r="W258" s="138"/>
      <c r="X258" s="139">
        <f t="shared" ref="X258:X262" si="49">H258+K258+N258+Q258+T258+W258</f>
        <v>84</v>
      </c>
      <c r="Y258" s="140" t="str">
        <f t="shared" si="46"/>
        <v>No</v>
      </c>
      <c r="Z258" s="141">
        <f t="shared" ref="Z258:Z262" si="50">COUNTA(H258,K258,N258,Q258,T258,W258)</f>
        <v>2</v>
      </c>
    </row>
    <row r="259" spans="2:28" ht="13" x14ac:dyDescent="0.3">
      <c r="B259" s="133">
        <v>3</v>
      </c>
      <c r="C259" s="134" t="s">
        <v>641</v>
      </c>
      <c r="D259" s="227">
        <v>7</v>
      </c>
      <c r="E259" s="227"/>
      <c r="F259" s="135">
        <f>IFERROR(VLOOKUP(C259,'01_RS ALCARRIA'!$F$50:$R$55,13,FALSE),"")</f>
        <v>17</v>
      </c>
      <c r="G259" s="135">
        <f>IFERROR(VLOOKUP(C259,'01_RS ALCARRIA'!$F$50:$T$55,15,FALSE),"")</f>
        <v>6</v>
      </c>
      <c r="H259" s="138">
        <f t="shared" si="47"/>
        <v>46</v>
      </c>
      <c r="I259" s="135"/>
      <c r="J259" s="135"/>
      <c r="K259" s="138"/>
      <c r="L259" s="135"/>
      <c r="M259" s="135"/>
      <c r="N259" s="138"/>
      <c r="O259" s="135"/>
      <c r="P259" s="135"/>
      <c r="Q259" s="138"/>
      <c r="R259" s="135"/>
      <c r="S259" s="135"/>
      <c r="T259" s="138"/>
      <c r="U259" s="135"/>
      <c r="V259" s="135"/>
      <c r="W259" s="138"/>
      <c r="X259" s="139">
        <f t="shared" si="49"/>
        <v>46</v>
      </c>
      <c r="Y259" s="140" t="str">
        <f t="shared" si="46"/>
        <v>No</v>
      </c>
      <c r="Z259" s="141">
        <f t="shared" si="50"/>
        <v>1</v>
      </c>
    </row>
    <row r="260" spans="2:28" ht="13" x14ac:dyDescent="0.3">
      <c r="B260" s="133">
        <v>4</v>
      </c>
      <c r="C260" s="134" t="s">
        <v>426</v>
      </c>
      <c r="D260" s="227">
        <v>7</v>
      </c>
      <c r="E260" s="227"/>
      <c r="F260" s="135">
        <f>IFERROR(VLOOKUP(C260,'01_RS ALCARRIA'!$F$50:$R$55,13,FALSE),"")</f>
        <v>15</v>
      </c>
      <c r="G260" s="135">
        <f>IFERROR(VLOOKUP(C260,'01_RS ALCARRIA'!$F$50:$T$55,15,FALSE),"")</f>
        <v>5</v>
      </c>
      <c r="H260" s="138">
        <f t="shared" si="47"/>
        <v>40</v>
      </c>
      <c r="I260" s="135">
        <v>0</v>
      </c>
      <c r="J260" s="135">
        <v>0</v>
      </c>
      <c r="K260" s="138">
        <f t="shared" si="48"/>
        <v>0</v>
      </c>
      <c r="L260" s="135"/>
      <c r="M260" s="135"/>
      <c r="N260" s="138"/>
      <c r="O260" s="135"/>
      <c r="P260" s="135"/>
      <c r="Q260" s="138"/>
      <c r="R260" s="135"/>
      <c r="S260" s="135"/>
      <c r="T260" s="138"/>
      <c r="U260" s="135"/>
      <c r="V260" s="135"/>
      <c r="W260" s="138"/>
      <c r="X260" s="139">
        <f t="shared" si="49"/>
        <v>40</v>
      </c>
      <c r="Y260" s="140" t="str">
        <f t="shared" si="46"/>
        <v>No</v>
      </c>
      <c r="Z260" s="141">
        <f t="shared" si="50"/>
        <v>2</v>
      </c>
    </row>
    <row r="261" spans="2:28" ht="13" x14ac:dyDescent="0.3">
      <c r="B261" s="133">
        <v>5</v>
      </c>
      <c r="C261" s="134" t="s">
        <v>398</v>
      </c>
      <c r="D261" s="227">
        <v>7</v>
      </c>
      <c r="E261" s="227"/>
      <c r="F261" s="135">
        <f>IFERROR(VLOOKUP(C261,'01_RS ALCARRIA'!$F$50:$R$55,13,FALSE),"")</f>
        <v>12</v>
      </c>
      <c r="G261" s="135">
        <f>IFERROR(VLOOKUP(C261,'01_RS ALCARRIA'!$F$50:$T$55,15,FALSE),"")</f>
        <v>3</v>
      </c>
      <c r="H261" s="138">
        <f t="shared" si="47"/>
        <v>30</v>
      </c>
      <c r="I261" s="135"/>
      <c r="J261" s="135"/>
      <c r="K261" s="138"/>
      <c r="L261" s="135"/>
      <c r="M261" s="135"/>
      <c r="N261" s="138"/>
      <c r="O261" s="135"/>
      <c r="P261" s="135"/>
      <c r="Q261" s="138"/>
      <c r="R261" s="135"/>
      <c r="S261" s="135"/>
      <c r="T261" s="138"/>
      <c r="U261" s="135"/>
      <c r="V261" s="135"/>
      <c r="W261" s="138"/>
      <c r="X261" s="139">
        <f t="shared" si="49"/>
        <v>30</v>
      </c>
      <c r="Y261" s="140" t="str">
        <f t="shared" si="46"/>
        <v>No</v>
      </c>
      <c r="Z261" s="141">
        <f t="shared" si="50"/>
        <v>1</v>
      </c>
    </row>
    <row r="262" spans="2:28" ht="13" x14ac:dyDescent="0.3">
      <c r="B262" s="133">
        <v>6</v>
      </c>
      <c r="C262" s="134" t="s">
        <v>645</v>
      </c>
      <c r="D262" s="227">
        <v>7</v>
      </c>
      <c r="E262" s="227"/>
      <c r="F262" s="135">
        <v>0</v>
      </c>
      <c r="G262" s="135">
        <v>0</v>
      </c>
      <c r="H262" s="138">
        <f t="shared" si="47"/>
        <v>0</v>
      </c>
      <c r="I262" s="135">
        <f>IFERROR(VLOOKUP(C262,'02_TCT GUADAMUR'!$F$50:$R$55,13,FALSE),"")</f>
        <v>17</v>
      </c>
      <c r="J262" s="135">
        <f>IFERROR(VLOOKUP(C262,'02_TCT GUADAMUR'!$F$50:$T$55,15,FALSE),"")</f>
        <v>6</v>
      </c>
      <c r="K262" s="138">
        <f t="shared" si="48"/>
        <v>23</v>
      </c>
      <c r="L262" s="135"/>
      <c r="M262" s="135"/>
      <c r="N262" s="138"/>
      <c r="O262" s="135"/>
      <c r="P262" s="135"/>
      <c r="Q262" s="138"/>
      <c r="R262" s="135"/>
      <c r="S262" s="135"/>
      <c r="T262" s="138"/>
      <c r="U262" s="135"/>
      <c r="V262" s="135"/>
      <c r="W262" s="138"/>
      <c r="X262" s="139">
        <f t="shared" si="49"/>
        <v>23</v>
      </c>
      <c r="Y262" s="140" t="str">
        <f t="shared" si="46"/>
        <v>No</v>
      </c>
      <c r="Z262" s="141">
        <f t="shared" si="50"/>
        <v>2</v>
      </c>
    </row>
    <row r="263" spans="2:28" ht="13" x14ac:dyDescent="0.3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149"/>
      <c r="Z263" s="127"/>
    </row>
    <row r="264" spans="2:28" ht="12.75" customHeight="1" x14ac:dyDescent="0.3">
      <c r="B264" s="1"/>
      <c r="C264" s="235"/>
      <c r="D264" s="284"/>
      <c r="E264" s="285" t="s">
        <v>534</v>
      </c>
      <c r="F264" s="147"/>
      <c r="G264" s="147"/>
      <c r="H264" s="147"/>
      <c r="I264" s="147"/>
      <c r="J264" s="147"/>
      <c r="K264" s="147"/>
      <c r="L264" s="147"/>
      <c r="M264" s="147"/>
      <c r="N264" s="147"/>
      <c r="O264" s="147"/>
      <c r="P264" s="147"/>
      <c r="Q264" s="147"/>
      <c r="R264" s="147"/>
      <c r="S264" s="147"/>
      <c r="T264" s="147"/>
      <c r="U264" s="147"/>
      <c r="V264" s="147"/>
      <c r="W264" s="147"/>
      <c r="X264" s="147"/>
      <c r="Y264" s="147"/>
      <c r="Z264" s="147"/>
      <c r="AA264" s="148"/>
      <c r="AB264" s="262"/>
    </row>
    <row r="265" spans="2:28" ht="13" x14ac:dyDescent="0.3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149"/>
      <c r="Z265" s="127"/>
    </row>
    <row r="266" spans="2:28" ht="39" customHeight="1" x14ac:dyDescent="0.55000000000000004">
      <c r="B266" s="164" t="s">
        <v>519</v>
      </c>
      <c r="C266" s="165"/>
      <c r="D266" s="165"/>
      <c r="E266" s="165"/>
      <c r="F266" s="165"/>
      <c r="G266" s="165"/>
      <c r="H266" s="165"/>
      <c r="I266" s="165"/>
      <c r="J266" s="165"/>
      <c r="K266" s="165"/>
      <c r="L266" s="165"/>
      <c r="M266" s="165"/>
      <c r="N266" s="165"/>
      <c r="O266" s="165"/>
      <c r="P266" s="165"/>
      <c r="Q266" s="165"/>
      <c r="R266" s="165"/>
      <c r="S266" s="165"/>
      <c r="T266" s="165"/>
      <c r="U266" s="165"/>
      <c r="V266" s="165"/>
      <c r="W266" s="165"/>
      <c r="X266" s="165"/>
    </row>
    <row r="267" spans="2:28" ht="37.5" customHeight="1" x14ac:dyDescent="0.3">
      <c r="B267" s="166" t="s">
        <v>224</v>
      </c>
      <c r="C267" s="167"/>
      <c r="D267" s="167"/>
      <c r="E267" s="167"/>
      <c r="F267" s="167"/>
      <c r="G267" s="167"/>
      <c r="H267" s="167"/>
      <c r="I267" s="167"/>
      <c r="J267" s="167"/>
      <c r="K267" s="167"/>
      <c r="L267" s="167"/>
      <c r="M267" s="167"/>
      <c r="N267" s="167"/>
      <c r="O267" s="167"/>
      <c r="P267" s="167"/>
      <c r="Q267" s="167"/>
      <c r="R267" s="167"/>
      <c r="S267" s="167"/>
      <c r="T267" s="167"/>
      <c r="U267" s="167"/>
      <c r="V267" s="167"/>
      <c r="W267" s="167"/>
      <c r="X267" s="167"/>
      <c r="Y267" s="30"/>
      <c r="Z267" s="30"/>
    </row>
    <row r="268" spans="2:28" ht="12.75" customHeight="1" x14ac:dyDescent="0.3">
      <c r="B268" s="162"/>
      <c r="C268" s="168"/>
      <c r="D268" s="161"/>
      <c r="E268" s="161"/>
      <c r="F268" s="222" t="s">
        <v>220</v>
      </c>
      <c r="G268" s="223"/>
      <c r="H268" s="224"/>
      <c r="I268" s="222" t="s">
        <v>663</v>
      </c>
      <c r="J268" s="225"/>
      <c r="K268" s="226"/>
      <c r="L268" s="222" t="s">
        <v>532</v>
      </c>
      <c r="M268" s="225"/>
      <c r="N268" s="226"/>
      <c r="O268" s="222" t="s">
        <v>526</v>
      </c>
      <c r="P268" s="225"/>
      <c r="Q268" s="226"/>
      <c r="R268" s="222" t="s">
        <v>287</v>
      </c>
      <c r="S268" s="225"/>
      <c r="T268" s="226"/>
      <c r="U268" s="413" t="s">
        <v>527</v>
      </c>
      <c r="V268" s="226"/>
      <c r="W268" s="226"/>
      <c r="X268" s="161" t="s">
        <v>213</v>
      </c>
      <c r="Y268" s="30"/>
      <c r="Z268" s="30"/>
    </row>
    <row r="269" spans="2:28" ht="12.75" customHeight="1" x14ac:dyDescent="0.3">
      <c r="B269" s="159" t="s">
        <v>0</v>
      </c>
      <c r="C269" s="170" t="s">
        <v>1</v>
      </c>
      <c r="D269" s="160" t="s">
        <v>2</v>
      </c>
      <c r="E269" s="160" t="s">
        <v>3</v>
      </c>
      <c r="F269" s="217" t="s">
        <v>523</v>
      </c>
      <c r="G269" s="218"/>
      <c r="H269" s="219"/>
      <c r="I269" s="217" t="s">
        <v>525</v>
      </c>
      <c r="J269" s="220"/>
      <c r="K269" s="221"/>
      <c r="L269" s="217" t="s">
        <v>664</v>
      </c>
      <c r="M269" s="220"/>
      <c r="N269" s="221"/>
      <c r="O269" s="217" t="s">
        <v>529</v>
      </c>
      <c r="P269" s="220"/>
      <c r="Q269" s="221"/>
      <c r="R269" s="217" t="s">
        <v>530</v>
      </c>
      <c r="S269" s="220"/>
      <c r="T269" s="221"/>
      <c r="U269" s="414" t="s">
        <v>528</v>
      </c>
      <c r="V269" s="255"/>
      <c r="W269" s="415"/>
      <c r="X269" s="160" t="s">
        <v>9</v>
      </c>
      <c r="Y269" s="519" t="s">
        <v>223</v>
      </c>
      <c r="Z269" s="521" t="s">
        <v>4</v>
      </c>
    </row>
    <row r="270" spans="2:28" ht="12.75" customHeight="1" x14ac:dyDescent="0.3">
      <c r="B270" s="163"/>
      <c r="C270" s="169"/>
      <c r="D270" s="157"/>
      <c r="E270" s="157"/>
      <c r="F270" s="131" t="s">
        <v>33</v>
      </c>
      <c r="G270" s="131" t="s">
        <v>34</v>
      </c>
      <c r="H270" s="132" t="s">
        <v>35</v>
      </c>
      <c r="I270" s="131" t="s">
        <v>33</v>
      </c>
      <c r="J270" s="131" t="s">
        <v>34</v>
      </c>
      <c r="K270" s="132" t="s">
        <v>35</v>
      </c>
      <c r="L270" s="131" t="s">
        <v>33</v>
      </c>
      <c r="M270" s="131" t="s">
        <v>34</v>
      </c>
      <c r="N270" s="132" t="s">
        <v>35</v>
      </c>
      <c r="O270" s="131" t="s">
        <v>33</v>
      </c>
      <c r="P270" s="131" t="s">
        <v>34</v>
      </c>
      <c r="Q270" s="132" t="s">
        <v>35</v>
      </c>
      <c r="R270" s="131" t="s">
        <v>33</v>
      </c>
      <c r="S270" s="131" t="s">
        <v>34</v>
      </c>
      <c r="T270" s="132" t="s">
        <v>35</v>
      </c>
      <c r="U270" s="131" t="s">
        <v>33</v>
      </c>
      <c r="V270" s="131" t="s">
        <v>34</v>
      </c>
      <c r="W270" s="132" t="s">
        <v>35</v>
      </c>
      <c r="X270" s="157"/>
      <c r="Y270" s="520"/>
      <c r="Z270" s="522"/>
    </row>
    <row r="271" spans="2:28" ht="12.75" customHeight="1" x14ac:dyDescent="0.3">
      <c r="B271" s="133">
        <v>1</v>
      </c>
      <c r="C271" s="142" t="s">
        <v>647</v>
      </c>
      <c r="D271" s="227">
        <v>8</v>
      </c>
      <c r="E271" s="227"/>
      <c r="F271" s="135">
        <f>IFERROR(VLOOKUP(C271,'01_RS ALCARRIA'!$D$58:$M$61,10,FALSE),"")</f>
        <v>25</v>
      </c>
      <c r="G271" s="284">
        <f>IFERROR(VLOOKUP(C271,'01_RS ALCARRIA'!$D$58:$O$61,12,FALSE),"")/2</f>
        <v>5</v>
      </c>
      <c r="H271" s="138">
        <f>(F271+G271)*2</f>
        <v>60</v>
      </c>
      <c r="I271" s="135">
        <f>IFERROR(VLOOKUP(C271,'02_TCT GUADAMUR'!$D$58:$M$61,10,FALSE),"")</f>
        <v>25</v>
      </c>
      <c r="J271" s="284">
        <f>IFERROR(VLOOKUP(C271,'02_TCT GUADAMUR'!$D$58:$O$61,12,FALSE),"")/2</f>
        <v>5</v>
      </c>
      <c r="K271" s="138">
        <f>(I271+J271)</f>
        <v>30</v>
      </c>
      <c r="L271" s="135"/>
      <c r="M271" s="135"/>
      <c r="N271" s="138"/>
      <c r="O271" s="135"/>
      <c r="P271" s="135"/>
      <c r="Q271" s="138"/>
      <c r="R271" s="135"/>
      <c r="S271" s="135"/>
      <c r="T271" s="138"/>
      <c r="U271" s="135"/>
      <c r="V271" s="135"/>
      <c r="W271" s="138"/>
      <c r="X271" s="139">
        <f>H271+K271+N271+Q271+T271+W271</f>
        <v>90</v>
      </c>
      <c r="Y271" s="140" t="str">
        <f>IF(Z271&gt;=3,"Sí","No")</f>
        <v>No</v>
      </c>
      <c r="Z271" s="141">
        <f>COUNTA(H271,K271,N271,Q271,T271,W271)</f>
        <v>2</v>
      </c>
    </row>
    <row r="272" spans="2:28" ht="13" x14ac:dyDescent="0.3">
      <c r="B272" s="133">
        <v>2</v>
      </c>
      <c r="C272" s="142" t="s">
        <v>649</v>
      </c>
      <c r="D272" s="227">
        <v>8</v>
      </c>
      <c r="E272" s="227"/>
      <c r="F272" s="135">
        <v>0</v>
      </c>
      <c r="G272" s="135">
        <v>0</v>
      </c>
      <c r="H272" s="138">
        <f t="shared" ref="H272" si="51">(F272+G272)*2</f>
        <v>0</v>
      </c>
      <c r="I272" s="135"/>
      <c r="J272" s="135"/>
      <c r="K272" s="138"/>
      <c r="L272" s="135"/>
      <c r="M272" s="135"/>
      <c r="N272" s="138"/>
      <c r="O272" s="135"/>
      <c r="P272" s="135"/>
      <c r="Q272" s="138"/>
      <c r="R272" s="135"/>
      <c r="S272" s="135"/>
      <c r="T272" s="138"/>
      <c r="U272" s="135"/>
      <c r="V272" s="135"/>
      <c r="W272" s="138"/>
      <c r="X272" s="139">
        <f t="shared" ref="X272" si="52">H272+K272+N272+Q272+T272+W272</f>
        <v>0</v>
      </c>
      <c r="Y272" s="140" t="str">
        <f>IF(Z272&gt;=3,"Sí","No")</f>
        <v>No</v>
      </c>
      <c r="Z272" s="141">
        <f t="shared" ref="Z272" si="53">COUNTA(H272,K272,N272,Q272,T272,W272)</f>
        <v>1</v>
      </c>
    </row>
    <row r="273" spans="2:28" ht="13" x14ac:dyDescent="0.3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149"/>
      <c r="Z273" s="127"/>
    </row>
    <row r="274" spans="2:28" ht="12.75" customHeight="1" x14ac:dyDescent="0.3">
      <c r="B274" s="1"/>
      <c r="C274" s="235"/>
      <c r="D274" s="284"/>
      <c r="E274" s="285" t="s">
        <v>534</v>
      </c>
      <c r="F274" s="147"/>
      <c r="G274" s="147"/>
      <c r="H274" s="147"/>
      <c r="I274" s="147"/>
      <c r="J274" s="147"/>
      <c r="K274" s="147"/>
      <c r="L274" s="147"/>
      <c r="M274" s="147"/>
      <c r="N274" s="147"/>
      <c r="O274" s="147"/>
      <c r="P274" s="147"/>
      <c r="Q274" s="147"/>
      <c r="R274" s="147"/>
      <c r="S274" s="147"/>
      <c r="T274" s="147"/>
      <c r="U274" s="147"/>
      <c r="V274" s="147"/>
      <c r="W274" s="147"/>
      <c r="X274" s="147"/>
      <c r="Y274" s="147"/>
      <c r="Z274" s="147"/>
      <c r="AA274" s="148"/>
      <c r="AB274" s="262"/>
    </row>
    <row r="275" spans="2:28" ht="13" x14ac:dyDescent="0.3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149"/>
      <c r="Z275" s="127"/>
    </row>
    <row r="276" spans="2:28" ht="39" customHeight="1" x14ac:dyDescent="0.55000000000000004">
      <c r="B276" s="164" t="s">
        <v>519</v>
      </c>
      <c r="C276" s="165"/>
      <c r="D276" s="165"/>
      <c r="E276" s="165"/>
      <c r="F276" s="165"/>
      <c r="G276" s="165"/>
      <c r="H276" s="165"/>
      <c r="I276" s="165"/>
      <c r="J276" s="165"/>
      <c r="K276" s="165"/>
      <c r="L276" s="165"/>
      <c r="M276" s="165"/>
      <c r="N276" s="165"/>
      <c r="O276" s="165"/>
      <c r="P276" s="165"/>
      <c r="Q276" s="165"/>
      <c r="R276" s="165"/>
      <c r="S276" s="165"/>
      <c r="T276" s="165"/>
      <c r="U276" s="165"/>
      <c r="V276" s="165"/>
      <c r="W276" s="165"/>
      <c r="X276" s="165"/>
    </row>
    <row r="277" spans="2:28" ht="37.5" customHeight="1" x14ac:dyDescent="0.3">
      <c r="B277" s="166" t="s">
        <v>338</v>
      </c>
      <c r="C277" s="167"/>
      <c r="D277" s="167"/>
      <c r="E277" s="167"/>
      <c r="F277" s="167"/>
      <c r="G277" s="167"/>
      <c r="H277" s="167"/>
      <c r="I277" s="167"/>
      <c r="J277" s="167"/>
      <c r="K277" s="167"/>
      <c r="L277" s="167"/>
      <c r="M277" s="167"/>
      <c r="N277" s="167"/>
      <c r="O277" s="167"/>
      <c r="P277" s="167"/>
      <c r="Q277" s="167"/>
      <c r="R277" s="167"/>
      <c r="S277" s="167"/>
      <c r="T277" s="167"/>
      <c r="U277" s="167"/>
      <c r="V277" s="167"/>
      <c r="W277" s="167"/>
      <c r="X277" s="167"/>
      <c r="Y277" s="30"/>
      <c r="Z277" s="30"/>
    </row>
    <row r="278" spans="2:28" ht="12.75" customHeight="1" x14ac:dyDescent="0.3">
      <c r="B278" s="162"/>
      <c r="C278" s="168"/>
      <c r="D278" s="161"/>
      <c r="E278" s="161"/>
      <c r="F278" s="222" t="s">
        <v>220</v>
      </c>
      <c r="G278" s="223"/>
      <c r="H278" s="224"/>
      <c r="I278" s="222" t="s">
        <v>663</v>
      </c>
      <c r="J278" s="225"/>
      <c r="K278" s="226"/>
      <c r="L278" s="222" t="s">
        <v>532</v>
      </c>
      <c r="M278" s="225"/>
      <c r="N278" s="226"/>
      <c r="O278" s="222" t="s">
        <v>526</v>
      </c>
      <c r="P278" s="225"/>
      <c r="Q278" s="226"/>
      <c r="R278" s="222" t="s">
        <v>287</v>
      </c>
      <c r="S278" s="225"/>
      <c r="T278" s="226"/>
      <c r="U278" s="413" t="s">
        <v>527</v>
      </c>
      <c r="V278" s="226"/>
      <c r="W278" s="226"/>
      <c r="X278" s="161" t="s">
        <v>213</v>
      </c>
      <c r="Y278" s="30"/>
      <c r="Z278" s="30"/>
    </row>
    <row r="279" spans="2:28" ht="12.75" customHeight="1" x14ac:dyDescent="0.3">
      <c r="B279" s="159" t="s">
        <v>0</v>
      </c>
      <c r="C279" s="170" t="s">
        <v>166</v>
      </c>
      <c r="D279" s="160" t="s">
        <v>2</v>
      </c>
      <c r="E279" s="160" t="s">
        <v>3</v>
      </c>
      <c r="F279" s="217" t="s">
        <v>523</v>
      </c>
      <c r="G279" s="218"/>
      <c r="H279" s="219"/>
      <c r="I279" s="217" t="s">
        <v>525</v>
      </c>
      <c r="J279" s="220"/>
      <c r="K279" s="221"/>
      <c r="L279" s="217" t="s">
        <v>664</v>
      </c>
      <c r="M279" s="220"/>
      <c r="N279" s="221"/>
      <c r="O279" s="217" t="s">
        <v>529</v>
      </c>
      <c r="P279" s="220"/>
      <c r="Q279" s="221"/>
      <c r="R279" s="217" t="s">
        <v>530</v>
      </c>
      <c r="S279" s="220"/>
      <c r="T279" s="221"/>
      <c r="U279" s="414" t="s">
        <v>528</v>
      </c>
      <c r="V279" s="255"/>
      <c r="W279" s="415"/>
      <c r="X279" s="160" t="s">
        <v>9</v>
      </c>
      <c r="Y279" s="519" t="s">
        <v>223</v>
      </c>
      <c r="Z279" s="521" t="s">
        <v>4</v>
      </c>
    </row>
    <row r="280" spans="2:28" ht="12.75" customHeight="1" x14ac:dyDescent="0.3">
      <c r="B280" s="163"/>
      <c r="C280" s="169"/>
      <c r="D280" s="157"/>
      <c r="E280" s="157"/>
      <c r="F280" s="131" t="s">
        <v>33</v>
      </c>
      <c r="G280" s="131" t="s">
        <v>34</v>
      </c>
      <c r="H280" s="132" t="s">
        <v>35</v>
      </c>
      <c r="I280" s="131" t="s">
        <v>33</v>
      </c>
      <c r="J280" s="131" t="s">
        <v>34</v>
      </c>
      <c r="K280" s="132" t="s">
        <v>35</v>
      </c>
      <c r="L280" s="131" t="s">
        <v>33</v>
      </c>
      <c r="M280" s="131" t="s">
        <v>34</v>
      </c>
      <c r="N280" s="132" t="s">
        <v>35</v>
      </c>
      <c r="O280" s="131" t="s">
        <v>33</v>
      </c>
      <c r="P280" s="131" t="s">
        <v>34</v>
      </c>
      <c r="Q280" s="132" t="s">
        <v>35</v>
      </c>
      <c r="R280" s="131" t="s">
        <v>33</v>
      </c>
      <c r="S280" s="131" t="s">
        <v>34</v>
      </c>
      <c r="T280" s="132" t="s">
        <v>35</v>
      </c>
      <c r="U280" s="131" t="s">
        <v>33</v>
      </c>
      <c r="V280" s="131" t="s">
        <v>34</v>
      </c>
      <c r="W280" s="132" t="s">
        <v>35</v>
      </c>
      <c r="X280" s="157"/>
      <c r="Y280" s="520"/>
      <c r="Z280" s="522"/>
    </row>
    <row r="281" spans="2:28" ht="12.75" customHeight="1" x14ac:dyDescent="0.3">
      <c r="B281" s="133">
        <v>1</v>
      </c>
      <c r="C281" s="142" t="s">
        <v>648</v>
      </c>
      <c r="D281" s="227">
        <v>8</v>
      </c>
      <c r="E281" s="227"/>
      <c r="F281" s="135">
        <f>IFERROR(VLOOKUP(C281,'01_RS ALCARRIA'!$F$58:$R$61,13,FALSE),"")</f>
        <v>25</v>
      </c>
      <c r="G281" s="284">
        <f>IFERROR(VLOOKUP(C281,'01_RS ALCARRIA'!$F$58:$T$61,15,FALSE),"")/2</f>
        <v>5</v>
      </c>
      <c r="H281" s="138">
        <f>(F281+G281)*2</f>
        <v>60</v>
      </c>
      <c r="I281" s="135">
        <f>IFERROR(VLOOKUP(C281,'02_TCT GUADAMUR'!$F$58:$R$61,13,FALSE),"")</f>
        <v>25</v>
      </c>
      <c r="J281" s="284">
        <f>IFERROR(VLOOKUP(C281,'02_TCT GUADAMUR'!$F$58:$T$61,15,FALSE),"")/2</f>
        <v>5</v>
      </c>
      <c r="K281" s="138">
        <f>(I281+J281)</f>
        <v>30</v>
      </c>
      <c r="L281" s="135"/>
      <c r="M281" s="135"/>
      <c r="N281" s="138"/>
      <c r="O281" s="135"/>
      <c r="P281" s="135"/>
      <c r="Q281" s="138"/>
      <c r="R281" s="135"/>
      <c r="S281" s="135"/>
      <c r="T281" s="138"/>
      <c r="U281" s="135"/>
      <c r="V281" s="135"/>
      <c r="W281" s="138"/>
      <c r="X281" s="139">
        <f>H281+K281+N281+Q281+T281+W281</f>
        <v>90</v>
      </c>
      <c r="Y281" s="140" t="str">
        <f>IF(Z281&gt;=3,"Sí","No")</f>
        <v>No</v>
      </c>
      <c r="Z281" s="141">
        <f>COUNTA(H281,K281,N281,Q281,T281,W281)</f>
        <v>2</v>
      </c>
    </row>
    <row r="282" spans="2:28" ht="13" x14ac:dyDescent="0.3">
      <c r="B282" s="133">
        <v>2</v>
      </c>
      <c r="C282" s="142" t="s">
        <v>650</v>
      </c>
      <c r="D282" s="227">
        <v>8</v>
      </c>
      <c r="E282" s="227"/>
      <c r="F282" s="135">
        <v>0</v>
      </c>
      <c r="G282" s="135">
        <v>0</v>
      </c>
      <c r="H282" s="138">
        <f t="shared" ref="H282" si="54">(F282+G282)*2</f>
        <v>0</v>
      </c>
      <c r="I282" s="135"/>
      <c r="J282" s="135"/>
      <c r="K282" s="138"/>
      <c r="L282" s="135"/>
      <c r="M282" s="135"/>
      <c r="N282" s="138"/>
      <c r="O282" s="135"/>
      <c r="P282" s="135"/>
      <c r="Q282" s="138"/>
      <c r="R282" s="135"/>
      <c r="S282" s="135"/>
      <c r="T282" s="138"/>
      <c r="U282" s="135"/>
      <c r="V282" s="135"/>
      <c r="W282" s="138"/>
      <c r="X282" s="139">
        <f t="shared" ref="X282" si="55">H282+K282+N282+Q282+T282+W282</f>
        <v>0</v>
      </c>
      <c r="Y282" s="140" t="str">
        <f>IF(Z282&gt;=3,"Sí","No")</f>
        <v>No</v>
      </c>
      <c r="Z282" s="141">
        <f t="shared" ref="Z282" si="56">COUNTA(H282,K282,N282,Q282,T282,W282)</f>
        <v>1</v>
      </c>
    </row>
    <row r="283" spans="2:28" ht="13" x14ac:dyDescent="0.3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149"/>
      <c r="Z283" s="127"/>
    </row>
    <row r="284" spans="2:28" ht="12.75" customHeight="1" x14ac:dyDescent="0.3">
      <c r="B284" s="1"/>
      <c r="C284" s="235"/>
      <c r="D284" s="284"/>
      <c r="E284" s="285" t="s">
        <v>534</v>
      </c>
      <c r="F284" s="147"/>
      <c r="G284" s="147"/>
      <c r="H284" s="147"/>
      <c r="I284" s="147"/>
      <c r="J284" s="147"/>
      <c r="K284" s="147"/>
      <c r="L284" s="147"/>
      <c r="M284" s="147"/>
      <c r="N284" s="147"/>
      <c r="O284" s="147"/>
      <c r="P284" s="147"/>
      <c r="Q284" s="147"/>
      <c r="R284" s="147"/>
      <c r="S284" s="147"/>
      <c r="T284" s="147"/>
      <c r="U284" s="147"/>
      <c r="V284" s="147"/>
      <c r="W284" s="147"/>
      <c r="X284" s="147"/>
      <c r="Y284" s="147"/>
      <c r="Z284" s="147"/>
      <c r="AA284" s="148"/>
      <c r="AB284" s="262"/>
    </row>
    <row r="285" spans="2:28" ht="13" x14ac:dyDescent="0.3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149"/>
      <c r="Z285" s="127"/>
    </row>
    <row r="286" spans="2:28" ht="39" customHeight="1" x14ac:dyDescent="0.55000000000000004">
      <c r="B286" s="164" t="s">
        <v>519</v>
      </c>
      <c r="C286" s="165"/>
      <c r="D286" s="165"/>
      <c r="E286" s="165"/>
      <c r="F286" s="165"/>
      <c r="G286" s="165"/>
      <c r="H286" s="165"/>
      <c r="I286" s="165"/>
      <c r="J286" s="165"/>
      <c r="K286" s="165"/>
      <c r="L286" s="165"/>
      <c r="M286" s="165"/>
      <c r="N286" s="165"/>
      <c r="O286" s="165"/>
      <c r="P286" s="165"/>
      <c r="Q286" s="165"/>
      <c r="R286" s="165"/>
      <c r="S286" s="165"/>
      <c r="T286" s="165"/>
      <c r="U286" s="165"/>
      <c r="V286" s="165"/>
      <c r="W286" s="165"/>
      <c r="X286" s="165"/>
    </row>
    <row r="287" spans="2:28" ht="37.5" customHeight="1" x14ac:dyDescent="0.3">
      <c r="B287" s="166" t="s">
        <v>344</v>
      </c>
      <c r="C287" s="167"/>
      <c r="D287" s="167"/>
      <c r="E287" s="167"/>
      <c r="F287" s="167"/>
      <c r="G287" s="167"/>
      <c r="H287" s="167"/>
      <c r="I287" s="167"/>
      <c r="J287" s="167"/>
      <c r="K287" s="167"/>
      <c r="L287" s="167"/>
      <c r="M287" s="167"/>
      <c r="N287" s="167"/>
      <c r="O287" s="167"/>
      <c r="P287" s="167"/>
      <c r="Q287" s="167"/>
      <c r="R287" s="167"/>
      <c r="S287" s="167"/>
      <c r="T287" s="167"/>
      <c r="U287" s="167"/>
      <c r="V287" s="167"/>
      <c r="W287" s="167"/>
      <c r="X287" s="167"/>
      <c r="Y287" s="30"/>
      <c r="Z287" s="30"/>
    </row>
    <row r="288" spans="2:28" ht="12.75" customHeight="1" x14ac:dyDescent="0.3">
      <c r="B288" s="162"/>
      <c r="C288" s="168"/>
      <c r="D288" s="161"/>
      <c r="E288" s="161"/>
      <c r="F288" s="222" t="s">
        <v>220</v>
      </c>
      <c r="G288" s="223"/>
      <c r="H288" s="224"/>
      <c r="I288" s="222" t="s">
        <v>663</v>
      </c>
      <c r="J288" s="225"/>
      <c r="K288" s="226"/>
      <c r="L288" s="222" t="s">
        <v>532</v>
      </c>
      <c r="M288" s="225"/>
      <c r="N288" s="226"/>
      <c r="O288" s="222" t="s">
        <v>526</v>
      </c>
      <c r="P288" s="225"/>
      <c r="Q288" s="226"/>
      <c r="R288" s="222" t="s">
        <v>287</v>
      </c>
      <c r="S288" s="225"/>
      <c r="T288" s="226"/>
      <c r="U288" s="413" t="s">
        <v>527</v>
      </c>
      <c r="V288" s="226"/>
      <c r="W288" s="226"/>
      <c r="X288" s="161" t="s">
        <v>213</v>
      </c>
      <c r="Y288" s="30"/>
      <c r="Z288" s="30"/>
    </row>
    <row r="289" spans="2:28" ht="12.75" customHeight="1" x14ac:dyDescent="0.3">
      <c r="B289" s="159" t="s">
        <v>0</v>
      </c>
      <c r="C289" s="170" t="s">
        <v>345</v>
      </c>
      <c r="D289" s="160" t="s">
        <v>2</v>
      </c>
      <c r="E289" s="160" t="s">
        <v>3</v>
      </c>
      <c r="F289" s="217" t="s">
        <v>523</v>
      </c>
      <c r="G289" s="218"/>
      <c r="H289" s="219"/>
      <c r="I289" s="217" t="s">
        <v>525</v>
      </c>
      <c r="J289" s="220"/>
      <c r="K289" s="221"/>
      <c r="L289" s="217" t="s">
        <v>664</v>
      </c>
      <c r="M289" s="220"/>
      <c r="N289" s="221"/>
      <c r="O289" s="217" t="s">
        <v>529</v>
      </c>
      <c r="P289" s="220"/>
      <c r="Q289" s="221"/>
      <c r="R289" s="217" t="s">
        <v>530</v>
      </c>
      <c r="S289" s="220"/>
      <c r="T289" s="221"/>
      <c r="U289" s="414" t="s">
        <v>528</v>
      </c>
      <c r="V289" s="255"/>
      <c r="W289" s="415"/>
      <c r="X289" s="160" t="s">
        <v>9</v>
      </c>
      <c r="Y289" s="519" t="s">
        <v>223</v>
      </c>
      <c r="Z289" s="521" t="s">
        <v>4</v>
      </c>
    </row>
    <row r="290" spans="2:28" ht="12.75" customHeight="1" x14ac:dyDescent="0.3">
      <c r="B290" s="163"/>
      <c r="C290" s="169"/>
      <c r="D290" s="157"/>
      <c r="E290" s="157"/>
      <c r="F290" s="131" t="s">
        <v>33</v>
      </c>
      <c r="G290" s="131" t="s">
        <v>34</v>
      </c>
      <c r="H290" s="132" t="s">
        <v>35</v>
      </c>
      <c r="I290" s="131" t="s">
        <v>33</v>
      </c>
      <c r="J290" s="131" t="s">
        <v>34</v>
      </c>
      <c r="K290" s="132" t="s">
        <v>35</v>
      </c>
      <c r="L290" s="131" t="s">
        <v>33</v>
      </c>
      <c r="M290" s="131" t="s">
        <v>34</v>
      </c>
      <c r="N290" s="132" t="s">
        <v>35</v>
      </c>
      <c r="O290" s="131" t="s">
        <v>33</v>
      </c>
      <c r="P290" s="131" t="s">
        <v>34</v>
      </c>
      <c r="Q290" s="132" t="s">
        <v>35</v>
      </c>
      <c r="R290" s="131" t="s">
        <v>33</v>
      </c>
      <c r="S290" s="131" t="s">
        <v>34</v>
      </c>
      <c r="T290" s="132" t="s">
        <v>35</v>
      </c>
      <c r="U290" s="131" t="s">
        <v>33</v>
      </c>
      <c r="V290" s="131" t="s">
        <v>34</v>
      </c>
      <c r="W290" s="132" t="s">
        <v>35</v>
      </c>
      <c r="X290" s="157"/>
      <c r="Y290" s="520"/>
      <c r="Z290" s="522"/>
    </row>
    <row r="291" spans="2:28" ht="12.75" customHeight="1" x14ac:dyDescent="0.3">
      <c r="B291" s="133">
        <v>1</v>
      </c>
      <c r="C291" s="142" t="s">
        <v>651</v>
      </c>
      <c r="D291" s="227">
        <v>8</v>
      </c>
      <c r="E291" s="227"/>
      <c r="F291" s="135">
        <f>IFERROR(VLOOKUP(C291,'01_RS ALCARRIA'!$D$65:$K$67,8, FALSE), " ")</f>
        <v>25</v>
      </c>
      <c r="G291" s="284">
        <f>IFERROR(VLOOKUP(C291,'01_RS ALCARRIA'!$D$65:$M$67,10, FALSE), " ")/2</f>
        <v>5</v>
      </c>
      <c r="H291" s="138">
        <f>(F291+G291)*2</f>
        <v>60</v>
      </c>
      <c r="I291" s="135">
        <f>IFERROR(VLOOKUP(C291,'02_TCT GUADAMUR'!$D$65:$K$67,8, FALSE), " ")</f>
        <v>25</v>
      </c>
      <c r="J291" s="284">
        <f>IFERROR(VLOOKUP(C291,'02_TCT GUADAMUR'!$D$65:$M$67,10, FALSE), " ")/2</f>
        <v>5</v>
      </c>
      <c r="K291" s="138">
        <f>(I291+J291)</f>
        <v>30</v>
      </c>
      <c r="L291" s="135"/>
      <c r="M291" s="135"/>
      <c r="N291" s="138"/>
      <c r="O291" s="135"/>
      <c r="P291" s="135"/>
      <c r="Q291" s="138"/>
      <c r="R291" s="135"/>
      <c r="S291" s="135"/>
      <c r="T291" s="138"/>
      <c r="U291" s="135"/>
      <c r="V291" s="135"/>
      <c r="W291" s="138"/>
      <c r="X291" s="139">
        <f>H291+K291+N291+Q291+T291+W291</f>
        <v>90</v>
      </c>
      <c r="Y291" s="140" t="str">
        <f>IF(Z291&gt;=3,"Sí","No")</f>
        <v>No</v>
      </c>
      <c r="Z291" s="141">
        <f>COUNTA(H291,K291,N291,Q291,T291,W291)</f>
        <v>2</v>
      </c>
    </row>
    <row r="292" spans="2:28" ht="13" x14ac:dyDescent="0.3">
      <c r="B292" s="133">
        <v>2</v>
      </c>
      <c r="C292" s="142" t="s">
        <v>652</v>
      </c>
      <c r="D292" s="227">
        <v>8</v>
      </c>
      <c r="E292" s="227"/>
      <c r="F292" s="135">
        <v>0</v>
      </c>
      <c r="G292" s="135">
        <v>0</v>
      </c>
      <c r="H292" s="138">
        <f t="shared" ref="H292" si="57">(F292+G292)*2</f>
        <v>0</v>
      </c>
      <c r="I292" s="135"/>
      <c r="J292" s="135"/>
      <c r="K292" s="138"/>
      <c r="L292" s="135"/>
      <c r="M292" s="135"/>
      <c r="N292" s="138"/>
      <c r="O292" s="135"/>
      <c r="P292" s="135"/>
      <c r="Q292" s="138"/>
      <c r="R292" s="135"/>
      <c r="S292" s="135"/>
      <c r="T292" s="138"/>
      <c r="U292" s="135"/>
      <c r="V292" s="135"/>
      <c r="W292" s="138"/>
      <c r="X292" s="139">
        <f t="shared" ref="X292" si="58">H292+K292+N292+Q292+T292+W292</f>
        <v>0</v>
      </c>
      <c r="Y292" s="140" t="str">
        <f>IF(Z292&gt;=3,"Sí","No")</f>
        <v>No</v>
      </c>
      <c r="Z292" s="141">
        <f t="shared" ref="Z292" si="59">COUNTA(H292,K292,N292,Q292,T292,W292)</f>
        <v>1</v>
      </c>
    </row>
    <row r="293" spans="2:28" ht="13" x14ac:dyDescent="0.3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149"/>
      <c r="Z293" s="127"/>
    </row>
    <row r="294" spans="2:28" ht="12.75" customHeight="1" x14ac:dyDescent="0.3">
      <c r="B294" s="1"/>
      <c r="C294" s="235"/>
      <c r="D294" s="284"/>
      <c r="E294" s="285" t="s">
        <v>534</v>
      </c>
      <c r="F294" s="147"/>
      <c r="G294" s="147"/>
      <c r="H294" s="147"/>
      <c r="I294" s="147"/>
      <c r="J294" s="147"/>
      <c r="K294" s="147"/>
      <c r="L294" s="147"/>
      <c r="M294" s="147"/>
      <c r="N294" s="147"/>
      <c r="O294" s="147"/>
      <c r="P294" s="147"/>
      <c r="Q294" s="147"/>
      <c r="R294" s="147"/>
      <c r="S294" s="147"/>
      <c r="T294" s="147"/>
      <c r="U294" s="147"/>
      <c r="V294" s="147"/>
      <c r="W294" s="147"/>
      <c r="X294" s="147"/>
      <c r="Y294" s="147"/>
      <c r="Z294" s="147"/>
      <c r="AA294" s="148"/>
      <c r="AB294" s="262"/>
    </row>
    <row r="295" spans="2:28" ht="13" x14ac:dyDescent="0.3">
      <c r="B295" s="4"/>
      <c r="C295" s="236"/>
      <c r="D295" s="155"/>
      <c r="E295" s="155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149"/>
      <c r="Z295" s="127"/>
    </row>
    <row r="296" spans="2:28" ht="5.5" customHeight="1" x14ac:dyDescent="0.3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149"/>
      <c r="Z296" s="127"/>
    </row>
    <row r="297" spans="2:28" ht="39" customHeight="1" x14ac:dyDescent="0.55000000000000004">
      <c r="B297" s="527" t="s">
        <v>520</v>
      </c>
      <c r="C297" s="527"/>
      <c r="D297" s="527"/>
      <c r="E297" s="527"/>
      <c r="F297" s="527"/>
      <c r="G297" s="527"/>
      <c r="H297" s="527"/>
      <c r="I297" s="527"/>
      <c r="J297" s="527"/>
      <c r="K297" s="527"/>
      <c r="L297" s="527"/>
      <c r="M297" s="527"/>
      <c r="N297" s="527"/>
      <c r="O297" s="527"/>
      <c r="P297" s="527"/>
      <c r="Q297" s="527"/>
      <c r="R297" s="527"/>
      <c r="S297" s="527"/>
      <c r="T297" s="527"/>
      <c r="U297" s="527"/>
      <c r="V297" s="527"/>
      <c r="W297" s="4"/>
      <c r="X297" s="4"/>
    </row>
    <row r="298" spans="2:28" ht="37.5" customHeight="1" x14ac:dyDescent="0.3">
      <c r="B298" s="523" t="s">
        <v>224</v>
      </c>
      <c r="C298" s="523"/>
      <c r="D298" s="523"/>
      <c r="E298" s="523"/>
      <c r="F298" s="523"/>
      <c r="G298" s="523"/>
      <c r="H298" s="523"/>
      <c r="I298" s="523"/>
      <c r="J298" s="523"/>
      <c r="K298" s="523"/>
      <c r="L298" s="523"/>
      <c r="M298" s="523"/>
      <c r="N298" s="523"/>
      <c r="O298" s="523"/>
      <c r="P298" s="523"/>
      <c r="Q298" s="523"/>
      <c r="R298" s="523"/>
      <c r="S298" s="523"/>
      <c r="T298" s="523"/>
      <c r="U298" s="523"/>
      <c r="V298" s="523"/>
      <c r="W298" s="4"/>
      <c r="X298" s="4"/>
      <c r="Y298" s="30"/>
      <c r="Z298" s="30"/>
    </row>
    <row r="299" spans="2:28" ht="12.75" customHeight="1" x14ac:dyDescent="0.3">
      <c r="B299" s="430"/>
      <c r="C299" s="416"/>
      <c r="D299" s="422"/>
      <c r="E299" s="224"/>
      <c r="F299" s="424"/>
      <c r="G299" s="422"/>
      <c r="H299" s="226"/>
      <c r="I299" s="426"/>
      <c r="J299" s="422"/>
      <c r="K299" s="226"/>
      <c r="L299" s="426"/>
      <c r="M299" s="422"/>
      <c r="N299" s="226"/>
      <c r="O299" s="426"/>
      <c r="P299" s="422"/>
      <c r="Q299" s="226"/>
      <c r="R299" s="426"/>
      <c r="S299" s="428" t="s">
        <v>213</v>
      </c>
      <c r="T299" s="422"/>
      <c r="U299" s="426"/>
      <c r="V299" s="428" t="s">
        <v>213</v>
      </c>
      <c r="W299" s="413"/>
      <c r="X299" s="431" t="s">
        <v>213</v>
      </c>
      <c r="Y299" s="30"/>
      <c r="Z299" s="30"/>
    </row>
    <row r="300" spans="2:28" ht="12.75" customHeight="1" x14ac:dyDescent="0.3">
      <c r="B300" s="159" t="s">
        <v>0</v>
      </c>
      <c r="C300" s="524" t="s">
        <v>1</v>
      </c>
      <c r="D300" s="525"/>
      <c r="E300" s="526"/>
      <c r="F300" s="421" t="s">
        <v>531</v>
      </c>
      <c r="G300" s="421"/>
      <c r="H300" s="260"/>
      <c r="I300" s="258" t="s">
        <v>524</v>
      </c>
      <c r="J300" s="421"/>
      <c r="K300" s="260"/>
      <c r="L300" s="258" t="s">
        <v>532</v>
      </c>
      <c r="M300" s="421"/>
      <c r="N300" s="260"/>
      <c r="O300" s="258" t="s">
        <v>526</v>
      </c>
      <c r="P300" s="421"/>
      <c r="Q300" s="260"/>
      <c r="R300" s="258" t="s">
        <v>287</v>
      </c>
      <c r="S300" s="421"/>
      <c r="T300" s="259"/>
      <c r="U300" s="258" t="s">
        <v>527</v>
      </c>
      <c r="V300" s="421"/>
      <c r="W300" s="260"/>
      <c r="X300" s="432" t="s">
        <v>9</v>
      </c>
      <c r="Y300" s="519" t="s">
        <v>223</v>
      </c>
      <c r="Z300" s="521" t="s">
        <v>4</v>
      </c>
    </row>
    <row r="301" spans="2:28" ht="12.75" customHeight="1" x14ac:dyDescent="0.3">
      <c r="B301" s="163"/>
      <c r="C301" s="417"/>
      <c r="D301" s="423"/>
      <c r="E301" s="219"/>
      <c r="F301" s="425"/>
      <c r="G301" s="423"/>
      <c r="H301" s="221"/>
      <c r="I301" s="427"/>
      <c r="J301" s="423"/>
      <c r="K301" s="221"/>
      <c r="L301" s="427"/>
      <c r="M301" s="423"/>
      <c r="N301" s="221"/>
      <c r="O301" s="427"/>
      <c r="P301" s="423"/>
      <c r="Q301" s="221"/>
      <c r="R301" s="427"/>
      <c r="S301" s="429"/>
      <c r="T301" s="423"/>
      <c r="U301" s="433"/>
      <c r="V301" s="434" t="s">
        <v>213</v>
      </c>
      <c r="W301" s="435"/>
      <c r="X301" s="256"/>
      <c r="Y301" s="520"/>
      <c r="Z301" s="522"/>
    </row>
    <row r="302" spans="2:28" ht="12.75" customHeight="1" x14ac:dyDescent="0.3">
      <c r="B302" s="133">
        <v>1</v>
      </c>
      <c r="C302" s="516" t="s">
        <v>332</v>
      </c>
      <c r="D302" s="517"/>
      <c r="E302" s="518"/>
      <c r="F302" s="142"/>
      <c r="G302" s="135">
        <f>8*2</f>
        <v>16</v>
      </c>
      <c r="H302" s="142"/>
      <c r="I302" s="142"/>
      <c r="J302" s="135">
        <v>8</v>
      </c>
      <c r="K302" s="142"/>
      <c r="L302" s="142"/>
      <c r="M302" s="135"/>
      <c r="N302" s="142"/>
      <c r="O302" s="142"/>
      <c r="P302" s="135"/>
      <c r="Q302" s="142"/>
      <c r="R302" s="142"/>
      <c r="S302" s="135"/>
      <c r="T302" s="142"/>
      <c r="U302" s="142"/>
      <c r="V302" s="135"/>
      <c r="W302" s="462"/>
      <c r="X302" s="420">
        <f>G302+J302+M302+P302+S302+V302</f>
        <v>24</v>
      </c>
      <c r="Y302" s="140" t="str">
        <f>IF(Z302&gt;=3,"Sí","No")</f>
        <v>No</v>
      </c>
      <c r="Z302" s="141">
        <f>COUNTA(G302,J302,M302,P302,S302,V302)</f>
        <v>2</v>
      </c>
      <c r="AA302" s="130" t="s">
        <v>552</v>
      </c>
    </row>
    <row r="303" spans="2:28" x14ac:dyDescent="0.3">
      <c r="B303" s="264"/>
      <c r="C303" s="265"/>
      <c r="D303" s="265"/>
      <c r="E303" s="265"/>
      <c r="F303" s="265"/>
      <c r="G303" s="265"/>
      <c r="H303" s="265"/>
      <c r="I303" s="265"/>
      <c r="J303" s="265"/>
      <c r="K303" s="265"/>
      <c r="L303" s="265"/>
      <c r="M303" s="265"/>
      <c r="N303" s="265"/>
      <c r="O303" s="265"/>
      <c r="P303" s="265"/>
      <c r="Q303" s="265"/>
      <c r="R303" s="265"/>
      <c r="S303" s="265"/>
      <c r="T303" s="4"/>
      <c r="U303" s="4"/>
      <c r="V303" s="4"/>
      <c r="W303" s="4"/>
      <c r="X303" s="4"/>
    </row>
    <row r="304" spans="2:28" x14ac:dyDescent="0.3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2:39" s="261" customFormat="1" x14ac:dyDescent="0.3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130"/>
      <c r="Z305" s="130"/>
      <c r="AA305" s="130"/>
      <c r="AC305" s="130"/>
      <c r="AD305" s="130"/>
      <c r="AE305" s="130"/>
      <c r="AF305" s="130"/>
      <c r="AG305" s="130"/>
      <c r="AH305" s="130"/>
      <c r="AI305" s="130"/>
      <c r="AJ305" s="130"/>
      <c r="AK305" s="130"/>
      <c r="AL305" s="130"/>
      <c r="AM305" s="130"/>
    </row>
    <row r="306" spans="2:39" s="261" customFormat="1" ht="39" customHeight="1" x14ac:dyDescent="0.55000000000000004">
      <c r="B306" s="527" t="s">
        <v>661</v>
      </c>
      <c r="C306" s="527"/>
      <c r="D306" s="527"/>
      <c r="E306" s="527"/>
      <c r="F306" s="527"/>
      <c r="G306" s="527"/>
      <c r="H306" s="527"/>
      <c r="I306" s="527"/>
      <c r="J306" s="527"/>
      <c r="K306" s="527"/>
      <c r="L306" s="527"/>
      <c r="M306" s="527"/>
      <c r="N306" s="527"/>
      <c r="O306" s="527"/>
      <c r="P306" s="527"/>
      <c r="Q306" s="527"/>
      <c r="R306" s="527"/>
      <c r="S306" s="527"/>
      <c r="T306" s="527"/>
      <c r="U306" s="527"/>
      <c r="V306" s="527"/>
      <c r="W306" s="4"/>
      <c r="X306" s="4"/>
      <c r="Y306" s="130"/>
      <c r="Z306" s="130"/>
      <c r="AA306" s="130"/>
      <c r="AC306" s="130"/>
      <c r="AD306" s="130"/>
      <c r="AE306" s="130"/>
      <c r="AF306" s="130"/>
      <c r="AG306" s="130"/>
      <c r="AH306" s="130"/>
      <c r="AI306" s="130"/>
      <c r="AJ306" s="130"/>
      <c r="AK306" s="130"/>
      <c r="AL306" s="130"/>
      <c r="AM306" s="130"/>
    </row>
    <row r="307" spans="2:39" s="261" customFormat="1" ht="37.5" customHeight="1" x14ac:dyDescent="0.3">
      <c r="B307" s="523" t="s">
        <v>224</v>
      </c>
      <c r="C307" s="523"/>
      <c r="D307" s="523"/>
      <c r="E307" s="523"/>
      <c r="F307" s="523"/>
      <c r="G307" s="523"/>
      <c r="H307" s="523"/>
      <c r="I307" s="523"/>
      <c r="J307" s="523"/>
      <c r="K307" s="523"/>
      <c r="L307" s="523"/>
      <c r="M307" s="523"/>
      <c r="N307" s="523"/>
      <c r="O307" s="523"/>
      <c r="P307" s="523"/>
      <c r="Q307" s="523"/>
      <c r="R307" s="523"/>
      <c r="S307" s="523"/>
      <c r="T307" s="523"/>
      <c r="U307" s="523"/>
      <c r="V307" s="523"/>
      <c r="W307" s="4"/>
      <c r="X307" s="4"/>
      <c r="Y307" s="30"/>
      <c r="Z307" s="30"/>
      <c r="AA307" s="130"/>
      <c r="AC307" s="130"/>
      <c r="AD307" s="130"/>
      <c r="AE307" s="130"/>
      <c r="AF307" s="130"/>
      <c r="AG307" s="130"/>
      <c r="AH307" s="130"/>
      <c r="AI307" s="130"/>
      <c r="AJ307" s="130"/>
      <c r="AK307" s="130"/>
      <c r="AL307" s="130"/>
      <c r="AM307" s="130"/>
    </row>
    <row r="308" spans="2:39" s="261" customFormat="1" ht="12.75" customHeight="1" x14ac:dyDescent="0.3">
      <c r="B308" s="430"/>
      <c r="C308" s="416"/>
      <c r="D308" s="422"/>
      <c r="E308" s="224"/>
      <c r="F308" s="424"/>
      <c r="G308" s="422"/>
      <c r="H308" s="226"/>
      <c r="I308" s="426"/>
      <c r="J308" s="422"/>
      <c r="K308" s="226"/>
      <c r="L308" s="426"/>
      <c r="M308" s="422"/>
      <c r="N308" s="226"/>
      <c r="O308" s="426"/>
      <c r="P308" s="422"/>
      <c r="Q308" s="226"/>
      <c r="R308" s="426"/>
      <c r="S308" s="428" t="s">
        <v>213</v>
      </c>
      <c r="T308" s="422"/>
      <c r="U308" s="426"/>
      <c r="V308" s="428" t="s">
        <v>213</v>
      </c>
      <c r="W308" s="413"/>
      <c r="X308" s="431" t="s">
        <v>213</v>
      </c>
      <c r="Y308" s="30"/>
      <c r="Z308" s="30"/>
      <c r="AA308" s="130"/>
      <c r="AC308" s="130"/>
      <c r="AD308" s="130"/>
      <c r="AE308" s="130"/>
      <c r="AF308" s="130"/>
      <c r="AG308" s="130"/>
      <c r="AH308" s="130"/>
      <c r="AI308" s="130"/>
      <c r="AJ308" s="130"/>
      <c r="AK308" s="130"/>
      <c r="AL308" s="130"/>
      <c r="AM308" s="130"/>
    </row>
    <row r="309" spans="2:39" s="261" customFormat="1" ht="12.75" customHeight="1" x14ac:dyDescent="0.3">
      <c r="B309" s="159" t="s">
        <v>0</v>
      </c>
      <c r="C309" s="524" t="s">
        <v>1</v>
      </c>
      <c r="D309" s="525"/>
      <c r="E309" s="526"/>
      <c r="F309" s="421" t="s">
        <v>531</v>
      </c>
      <c r="G309" s="421"/>
      <c r="H309" s="260"/>
      <c r="I309" s="258" t="s">
        <v>524</v>
      </c>
      <c r="J309" s="421"/>
      <c r="K309" s="260"/>
      <c r="L309" s="258" t="s">
        <v>532</v>
      </c>
      <c r="M309" s="421"/>
      <c r="N309" s="260"/>
      <c r="O309" s="258" t="s">
        <v>526</v>
      </c>
      <c r="P309" s="421"/>
      <c r="Q309" s="260"/>
      <c r="R309" s="258" t="s">
        <v>287</v>
      </c>
      <c r="S309" s="421"/>
      <c r="T309" s="259"/>
      <c r="U309" s="258" t="s">
        <v>527</v>
      </c>
      <c r="V309" s="421"/>
      <c r="W309" s="260"/>
      <c r="X309" s="432" t="s">
        <v>9</v>
      </c>
      <c r="Y309" s="519" t="s">
        <v>223</v>
      </c>
      <c r="Z309" s="521" t="s">
        <v>4</v>
      </c>
      <c r="AA309" s="130"/>
      <c r="AC309" s="130"/>
      <c r="AD309" s="130"/>
      <c r="AE309" s="130"/>
      <c r="AF309" s="130"/>
      <c r="AG309" s="130"/>
      <c r="AH309" s="130"/>
      <c r="AI309" s="130"/>
      <c r="AJ309" s="130"/>
      <c r="AK309" s="130"/>
      <c r="AL309" s="130"/>
      <c r="AM309" s="130"/>
    </row>
    <row r="310" spans="2:39" s="261" customFormat="1" ht="12.75" customHeight="1" x14ac:dyDescent="0.3">
      <c r="B310" s="163"/>
      <c r="C310" s="417"/>
      <c r="D310" s="423"/>
      <c r="E310" s="219"/>
      <c r="F310" s="425"/>
      <c r="G310" s="423"/>
      <c r="H310" s="221"/>
      <c r="I310" s="427"/>
      <c r="J310" s="423"/>
      <c r="K310" s="221"/>
      <c r="L310" s="427"/>
      <c r="M310" s="423"/>
      <c r="N310" s="221"/>
      <c r="O310" s="427"/>
      <c r="P310" s="423"/>
      <c r="Q310" s="221"/>
      <c r="R310" s="427"/>
      <c r="S310" s="429"/>
      <c r="T310" s="423"/>
      <c r="U310" s="433"/>
      <c r="V310" s="434" t="s">
        <v>213</v>
      </c>
      <c r="W310" s="435"/>
      <c r="X310" s="256"/>
      <c r="Y310" s="520"/>
      <c r="Z310" s="522"/>
      <c r="AA310" s="130"/>
      <c r="AC310" s="130"/>
      <c r="AD310" s="130"/>
      <c r="AE310" s="130"/>
      <c r="AF310" s="130"/>
      <c r="AG310" s="130"/>
      <c r="AH310" s="130"/>
      <c r="AI310" s="130"/>
      <c r="AJ310" s="130"/>
      <c r="AK310" s="130"/>
      <c r="AL310" s="130"/>
      <c r="AM310" s="130"/>
    </row>
    <row r="311" spans="2:39" s="261" customFormat="1" ht="12.75" customHeight="1" x14ac:dyDescent="0.3">
      <c r="B311" s="133">
        <v>1</v>
      </c>
      <c r="C311" s="516" t="s">
        <v>358</v>
      </c>
      <c r="D311" s="517"/>
      <c r="E311" s="518"/>
      <c r="F311" s="317"/>
      <c r="G311" s="498">
        <f>10*2</f>
        <v>20</v>
      </c>
      <c r="H311" s="419"/>
      <c r="I311" s="317"/>
      <c r="J311" s="498">
        <f>10</f>
        <v>10</v>
      </c>
      <c r="K311" s="419"/>
      <c r="L311" s="317"/>
      <c r="M311" s="498"/>
      <c r="N311" s="419"/>
      <c r="O311" s="317"/>
      <c r="P311" s="498"/>
      <c r="Q311" s="419"/>
      <c r="R311" s="419"/>
      <c r="S311" s="498"/>
      <c r="T311" s="419"/>
      <c r="U311" s="419"/>
      <c r="V311" s="498"/>
      <c r="W311" s="462"/>
      <c r="X311" s="420">
        <f>G311+J311+M311+P311+S311+V311</f>
        <v>30</v>
      </c>
      <c r="Y311" s="140" t="str">
        <f>IF(Z311&gt;=3,"Sí","No")</f>
        <v>No</v>
      </c>
      <c r="Z311" s="141">
        <f>COUNTA(G311,J311,M311,P311,S311,V311)</f>
        <v>2</v>
      </c>
      <c r="AA311" s="130" t="s">
        <v>552</v>
      </c>
      <c r="AC311" s="130"/>
      <c r="AD311" s="130"/>
      <c r="AE311" s="130"/>
      <c r="AF311" s="130"/>
      <c r="AG311" s="130"/>
      <c r="AH311" s="130"/>
      <c r="AI311" s="130"/>
      <c r="AJ311" s="130"/>
      <c r="AK311" s="130"/>
      <c r="AL311" s="130"/>
      <c r="AM311" s="130"/>
    </row>
    <row r="312" spans="2:39" s="261" customFormat="1" x14ac:dyDescent="0.3">
      <c r="B312" s="264"/>
      <c r="C312" s="265"/>
      <c r="D312" s="265"/>
      <c r="E312" s="265"/>
      <c r="F312" s="265"/>
      <c r="G312" s="265"/>
      <c r="H312" s="265"/>
      <c r="I312" s="265"/>
      <c r="J312" s="265"/>
      <c r="K312" s="265"/>
      <c r="L312" s="265"/>
      <c r="M312" s="265"/>
      <c r="N312" s="265"/>
      <c r="O312" s="265"/>
      <c r="P312" s="265"/>
      <c r="Q312" s="265"/>
      <c r="R312" s="265"/>
      <c r="S312" s="265"/>
      <c r="T312" s="4"/>
      <c r="U312" s="4"/>
      <c r="V312" s="4"/>
      <c r="W312" s="4"/>
      <c r="X312" s="4"/>
      <c r="Y312" s="130"/>
      <c r="Z312" s="130"/>
      <c r="AA312" s="130"/>
      <c r="AC312" s="130"/>
      <c r="AD312" s="130"/>
      <c r="AE312" s="130"/>
      <c r="AF312" s="130"/>
      <c r="AG312" s="130"/>
      <c r="AH312" s="130"/>
      <c r="AI312" s="130"/>
      <c r="AJ312" s="130"/>
      <c r="AK312" s="130"/>
      <c r="AL312" s="130"/>
      <c r="AM312" s="130"/>
    </row>
    <row r="313" spans="2:39" s="261" customFormat="1" x14ac:dyDescent="0.3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130"/>
      <c r="Z313" s="130"/>
      <c r="AA313" s="130"/>
      <c r="AC313" s="130"/>
      <c r="AD313" s="130"/>
      <c r="AE313" s="130"/>
      <c r="AF313" s="130"/>
      <c r="AG313" s="130"/>
      <c r="AH313" s="130"/>
      <c r="AI313" s="130"/>
      <c r="AJ313" s="130"/>
      <c r="AK313" s="130"/>
      <c r="AL313" s="130"/>
      <c r="AM313" s="130"/>
    </row>
    <row r="314" spans="2:39" s="261" customFormat="1" ht="39" customHeight="1" x14ac:dyDescent="0.55000000000000004">
      <c r="B314" s="527" t="s">
        <v>522</v>
      </c>
      <c r="C314" s="527"/>
      <c r="D314" s="527"/>
      <c r="E314" s="527"/>
      <c r="F314" s="527"/>
      <c r="G314" s="527"/>
      <c r="H314" s="527"/>
      <c r="I314" s="527"/>
      <c r="J314" s="527"/>
      <c r="K314" s="527"/>
      <c r="L314" s="527"/>
      <c r="M314" s="527"/>
      <c r="N314" s="527"/>
      <c r="O314" s="527"/>
      <c r="P314" s="527"/>
      <c r="Q314" s="527"/>
      <c r="R314" s="527"/>
      <c r="S314" s="527"/>
      <c r="T314" s="527"/>
      <c r="U314" s="527"/>
      <c r="V314" s="527"/>
      <c r="W314" s="4"/>
      <c r="X314" s="4"/>
      <c r="Y314" s="130"/>
      <c r="Z314" s="130"/>
      <c r="AA314" s="130"/>
      <c r="AC314" s="130"/>
      <c r="AD314" s="130"/>
      <c r="AE314" s="130"/>
      <c r="AF314" s="130"/>
      <c r="AG314" s="130"/>
      <c r="AH314" s="130"/>
      <c r="AI314" s="130"/>
      <c r="AJ314" s="130"/>
      <c r="AK314" s="130"/>
      <c r="AL314" s="130"/>
      <c r="AM314" s="130"/>
    </row>
    <row r="315" spans="2:39" s="261" customFormat="1" ht="37.5" customHeight="1" x14ac:dyDescent="0.3">
      <c r="B315" s="523" t="s">
        <v>338</v>
      </c>
      <c r="C315" s="523"/>
      <c r="D315" s="523"/>
      <c r="E315" s="523"/>
      <c r="F315" s="523"/>
      <c r="G315" s="523"/>
      <c r="H315" s="523"/>
      <c r="I315" s="523"/>
      <c r="J315" s="523"/>
      <c r="K315" s="523"/>
      <c r="L315" s="523"/>
      <c r="M315" s="523"/>
      <c r="N315" s="523"/>
      <c r="O315" s="523"/>
      <c r="P315" s="523"/>
      <c r="Q315" s="523"/>
      <c r="R315" s="523"/>
      <c r="S315" s="523"/>
      <c r="T315" s="523"/>
      <c r="U315" s="523"/>
      <c r="V315" s="523"/>
      <c r="W315" s="4"/>
      <c r="X315" s="4"/>
      <c r="Y315" s="30"/>
      <c r="Z315" s="30"/>
      <c r="AA315" s="130"/>
      <c r="AC315" s="130"/>
      <c r="AD315" s="130"/>
      <c r="AE315" s="130"/>
      <c r="AF315" s="130"/>
      <c r="AG315" s="130"/>
      <c r="AH315" s="130"/>
      <c r="AI315" s="130"/>
      <c r="AJ315" s="130"/>
      <c r="AK315" s="130"/>
      <c r="AL315" s="130"/>
      <c r="AM315" s="130"/>
    </row>
    <row r="316" spans="2:39" s="261" customFormat="1" ht="12.75" customHeight="1" x14ac:dyDescent="0.3">
      <c r="B316" s="430"/>
      <c r="C316" s="416"/>
      <c r="D316" s="422"/>
      <c r="E316" s="224"/>
      <c r="F316" s="424"/>
      <c r="G316" s="422"/>
      <c r="H316" s="226"/>
      <c r="I316" s="426"/>
      <c r="J316" s="422"/>
      <c r="K316" s="226"/>
      <c r="L316" s="426"/>
      <c r="M316" s="422"/>
      <c r="N316" s="226"/>
      <c r="O316" s="426"/>
      <c r="P316" s="422"/>
      <c r="Q316" s="226"/>
      <c r="R316" s="426"/>
      <c r="S316" s="428" t="s">
        <v>213</v>
      </c>
      <c r="T316" s="422"/>
      <c r="U316" s="426"/>
      <c r="V316" s="428" t="s">
        <v>213</v>
      </c>
      <c r="W316" s="413"/>
      <c r="X316" s="431" t="s">
        <v>213</v>
      </c>
      <c r="Y316" s="30"/>
      <c r="Z316" s="30"/>
      <c r="AA316" s="130"/>
      <c r="AC316" s="130"/>
      <c r="AD316" s="130"/>
      <c r="AE316" s="130"/>
      <c r="AF316" s="130"/>
      <c r="AG316" s="130"/>
      <c r="AH316" s="130"/>
      <c r="AI316" s="130"/>
      <c r="AJ316" s="130"/>
      <c r="AK316" s="130"/>
      <c r="AL316" s="130"/>
      <c r="AM316" s="130"/>
    </row>
    <row r="317" spans="2:39" s="261" customFormat="1" ht="12.75" customHeight="1" x14ac:dyDescent="0.3">
      <c r="B317" s="159" t="s">
        <v>0</v>
      </c>
      <c r="C317" s="524" t="s">
        <v>166</v>
      </c>
      <c r="D317" s="525"/>
      <c r="E317" s="526"/>
      <c r="F317" s="421" t="s">
        <v>531</v>
      </c>
      <c r="G317" s="421"/>
      <c r="H317" s="260"/>
      <c r="I317" s="258" t="s">
        <v>524</v>
      </c>
      <c r="J317" s="421"/>
      <c r="K317" s="260"/>
      <c r="L317" s="258" t="s">
        <v>532</v>
      </c>
      <c r="M317" s="421"/>
      <c r="N317" s="260"/>
      <c r="O317" s="258" t="s">
        <v>526</v>
      </c>
      <c r="P317" s="421"/>
      <c r="Q317" s="260"/>
      <c r="R317" s="258" t="s">
        <v>287</v>
      </c>
      <c r="S317" s="421"/>
      <c r="T317" s="259"/>
      <c r="U317" s="258" t="s">
        <v>527</v>
      </c>
      <c r="V317" s="421"/>
      <c r="W317" s="260"/>
      <c r="X317" s="432" t="s">
        <v>9</v>
      </c>
      <c r="Y317" s="519" t="s">
        <v>223</v>
      </c>
      <c r="Z317" s="521" t="s">
        <v>4</v>
      </c>
      <c r="AA317" s="130"/>
      <c r="AC317" s="130"/>
      <c r="AD317" s="130"/>
      <c r="AE317" s="130"/>
      <c r="AF317" s="130"/>
      <c r="AG317" s="130"/>
      <c r="AH317" s="130"/>
      <c r="AI317" s="130"/>
      <c r="AJ317" s="130"/>
      <c r="AK317" s="130"/>
      <c r="AL317" s="130"/>
      <c r="AM317" s="130"/>
    </row>
    <row r="318" spans="2:39" s="261" customFormat="1" ht="12.75" customHeight="1" x14ac:dyDescent="0.3">
      <c r="B318" s="163"/>
      <c r="C318" s="417"/>
      <c r="D318" s="423"/>
      <c r="E318" s="219"/>
      <c r="F318" s="425"/>
      <c r="G318" s="423"/>
      <c r="H318" s="221"/>
      <c r="I318" s="427"/>
      <c r="J318" s="423"/>
      <c r="K318" s="221"/>
      <c r="L318" s="427"/>
      <c r="M318" s="423"/>
      <c r="N318" s="221"/>
      <c r="O318" s="427"/>
      <c r="P318" s="423"/>
      <c r="Q318" s="221"/>
      <c r="R318" s="427"/>
      <c r="S318" s="429"/>
      <c r="T318" s="423"/>
      <c r="U318" s="433"/>
      <c r="V318" s="434" t="s">
        <v>213</v>
      </c>
      <c r="W318" s="435"/>
      <c r="X318" s="256"/>
      <c r="Y318" s="520"/>
      <c r="Z318" s="522"/>
      <c r="AA318" s="130"/>
      <c r="AC318" s="130"/>
      <c r="AD318" s="130"/>
      <c r="AE318" s="130"/>
      <c r="AF318" s="130"/>
      <c r="AG318" s="130"/>
      <c r="AH318" s="130"/>
      <c r="AI318" s="130"/>
      <c r="AJ318" s="130"/>
      <c r="AK318" s="130"/>
      <c r="AL318" s="130"/>
      <c r="AM318" s="130"/>
    </row>
    <row r="319" spans="2:39" s="261" customFormat="1" ht="12.75" customHeight="1" x14ac:dyDescent="0.3">
      <c r="B319" s="133">
        <v>1</v>
      </c>
      <c r="C319" s="507" t="s">
        <v>358</v>
      </c>
      <c r="D319" s="496"/>
      <c r="E319" s="497"/>
      <c r="F319" s="142"/>
      <c r="G319" s="137">
        <f>IFERROR(VLOOKUP(C319,'01_RS ALCARRIA'!$F$6:$U$70,15, FALSE), " ")*2</f>
        <v>20</v>
      </c>
      <c r="H319" s="142"/>
      <c r="I319" s="142"/>
      <c r="J319" s="137">
        <f>IFERROR(VLOOKUP(C319,'02_TCT GUADAMUR'!$F$6:$U$70,15, FALSE), " ")</f>
        <v>10</v>
      </c>
      <c r="K319" s="142"/>
      <c r="L319" s="135"/>
      <c r="M319" s="135"/>
      <c r="N319" s="138"/>
      <c r="O319" s="135"/>
      <c r="P319" s="135"/>
      <c r="Q319" s="138"/>
      <c r="R319" s="135"/>
      <c r="S319" s="135"/>
      <c r="T319" s="138"/>
      <c r="U319" s="135"/>
      <c r="V319" s="135"/>
      <c r="W319" s="138"/>
      <c r="X319" s="420">
        <f t="shared" ref="X319:X327" si="60">G319+J319+M319+P319+S319+V319</f>
        <v>30</v>
      </c>
      <c r="Y319" s="140" t="str">
        <f t="shared" ref="Y319:Y327" si="61">IF(Z319&gt;=3,"Sí","No")</f>
        <v>No</v>
      </c>
      <c r="Z319" s="141">
        <f>COUNTA(G319,J319,M319,P319,S319,V319)</f>
        <v>2</v>
      </c>
      <c r="AA319" s="130"/>
      <c r="AC319" s="130"/>
      <c r="AD319" s="130"/>
      <c r="AE319" s="130"/>
      <c r="AF319" s="130"/>
      <c r="AG319" s="130"/>
      <c r="AH319" s="130"/>
      <c r="AI319" s="130"/>
      <c r="AJ319" s="130"/>
      <c r="AK319" s="130"/>
      <c r="AL319" s="130"/>
      <c r="AM319" s="130"/>
    </row>
    <row r="320" spans="2:39" s="261" customFormat="1" ht="13" x14ac:dyDescent="0.3">
      <c r="B320" s="133">
        <v>2</v>
      </c>
      <c r="C320" s="507" t="s">
        <v>360</v>
      </c>
      <c r="D320" s="496"/>
      <c r="E320" s="497"/>
      <c r="F320" s="142"/>
      <c r="G320" s="137">
        <f>IFERROR(VLOOKUP(C320,'01_RS ALCARRIA'!$F$6:$U$70,15, FALSE), " ")*2</f>
        <v>16</v>
      </c>
      <c r="H320" s="142"/>
      <c r="I320" s="142"/>
      <c r="J320" s="137">
        <f>IFERROR(VLOOKUP(C320,'02_TCT GUADAMUR'!$F$6:$U$70,15, FALSE), " ")</f>
        <v>8</v>
      </c>
      <c r="K320" s="142"/>
      <c r="L320" s="135"/>
      <c r="M320" s="135"/>
      <c r="N320" s="138"/>
      <c r="O320" s="135"/>
      <c r="P320" s="135"/>
      <c r="Q320" s="138"/>
      <c r="R320" s="135"/>
      <c r="S320" s="135"/>
      <c r="T320" s="138"/>
      <c r="U320" s="135"/>
      <c r="V320" s="135"/>
      <c r="W320" s="138"/>
      <c r="X320" s="420">
        <f t="shared" si="60"/>
        <v>24</v>
      </c>
      <c r="Y320" s="140" t="str">
        <f t="shared" si="61"/>
        <v>No</v>
      </c>
      <c r="Z320" s="141">
        <f t="shared" ref="Z320:Z327" si="62">COUNTA(G320,J320,M320,P320,S320,V320)</f>
        <v>2</v>
      </c>
      <c r="AA320" s="130"/>
      <c r="AC320" s="130"/>
      <c r="AD320" s="130"/>
      <c r="AE320" s="130"/>
      <c r="AF320" s="130"/>
      <c r="AG320" s="130"/>
      <c r="AH320" s="130"/>
      <c r="AI320" s="130"/>
      <c r="AJ320" s="130"/>
      <c r="AK320" s="130"/>
      <c r="AL320" s="130"/>
      <c r="AM320" s="130"/>
    </row>
    <row r="321" spans="2:39" s="261" customFormat="1" ht="13" x14ac:dyDescent="0.3">
      <c r="B321" s="133">
        <v>3</v>
      </c>
      <c r="C321" s="507" t="s">
        <v>625</v>
      </c>
      <c r="D321" s="496"/>
      <c r="E321" s="497"/>
      <c r="F321" s="142"/>
      <c r="G321" s="494">
        <f>IFERROR(VLOOKUP(C321,'01_RS ALCARRIA'!$F$6:$U$70,15, FALSE), " ")</f>
        <v>10</v>
      </c>
      <c r="H321" s="142"/>
      <c r="I321" s="142"/>
      <c r="J321" s="137">
        <f>IFERROR(VLOOKUP(C321,'02_TCT GUADAMUR'!$F$6:$U$70,15, FALSE), " ")</f>
        <v>8</v>
      </c>
      <c r="K321" s="142"/>
      <c r="L321" s="135"/>
      <c r="M321" s="135"/>
      <c r="N321" s="138"/>
      <c r="O321" s="135"/>
      <c r="P321" s="135"/>
      <c r="Q321" s="138"/>
      <c r="R321" s="135"/>
      <c r="S321" s="135"/>
      <c r="T321" s="138"/>
      <c r="U321" s="135"/>
      <c r="V321" s="135"/>
      <c r="W321" s="138"/>
      <c r="X321" s="420">
        <f t="shared" si="60"/>
        <v>18</v>
      </c>
      <c r="Y321" s="140" t="str">
        <f t="shared" si="61"/>
        <v>No</v>
      </c>
      <c r="Z321" s="141">
        <f t="shared" si="62"/>
        <v>2</v>
      </c>
      <c r="AA321" s="130"/>
      <c r="AC321" s="130"/>
      <c r="AD321" s="130"/>
      <c r="AE321" s="130"/>
      <c r="AF321" s="130"/>
      <c r="AG321" s="130"/>
      <c r="AH321" s="130"/>
      <c r="AI321" s="130"/>
      <c r="AJ321" s="130"/>
      <c r="AK321" s="130"/>
      <c r="AL321" s="130"/>
      <c r="AM321" s="130"/>
    </row>
    <row r="322" spans="2:39" s="261" customFormat="1" ht="12.75" customHeight="1" x14ac:dyDescent="0.3">
      <c r="B322" s="133">
        <v>4</v>
      </c>
      <c r="C322" s="507" t="s">
        <v>596</v>
      </c>
      <c r="D322" s="496"/>
      <c r="E322" s="497"/>
      <c r="F322" s="142"/>
      <c r="G322" s="137">
        <f>IFERROR(VLOOKUP(C322,'01_RS ALCARRIA'!$F$6:$U$70,15, FALSE), " ")*2</f>
        <v>10</v>
      </c>
      <c r="H322" s="142"/>
      <c r="I322" s="142"/>
      <c r="J322" s="137">
        <f>IFERROR(VLOOKUP(C322,'02_TCT GUADAMUR'!$F$6:$U$70,15, FALSE), " ")</f>
        <v>6</v>
      </c>
      <c r="K322" s="142"/>
      <c r="L322" s="135"/>
      <c r="M322" s="135"/>
      <c r="N322" s="138"/>
      <c r="O322" s="135"/>
      <c r="P322" s="135"/>
      <c r="Q322" s="138"/>
      <c r="R322" s="135"/>
      <c r="S322" s="135"/>
      <c r="T322" s="138"/>
      <c r="U322" s="135"/>
      <c r="V322" s="135"/>
      <c r="W322" s="138"/>
      <c r="X322" s="420">
        <f t="shared" si="60"/>
        <v>16</v>
      </c>
      <c r="Y322" s="140" t="str">
        <f t="shared" si="61"/>
        <v>No</v>
      </c>
      <c r="Z322" s="141">
        <f t="shared" si="62"/>
        <v>2</v>
      </c>
      <c r="AA322" s="130"/>
      <c r="AC322" s="130"/>
      <c r="AD322" s="130"/>
      <c r="AE322" s="130"/>
      <c r="AF322" s="130"/>
      <c r="AG322" s="130"/>
      <c r="AH322" s="130"/>
      <c r="AI322" s="130"/>
      <c r="AJ322" s="130"/>
      <c r="AK322" s="130"/>
      <c r="AL322" s="130"/>
      <c r="AM322" s="130"/>
    </row>
    <row r="323" spans="2:39" s="261" customFormat="1" ht="12.75" customHeight="1" x14ac:dyDescent="0.3">
      <c r="B323" s="133">
        <v>5</v>
      </c>
      <c r="C323" s="507" t="s">
        <v>688</v>
      </c>
      <c r="D323" s="496"/>
      <c r="E323" s="497"/>
      <c r="F323" s="135"/>
      <c r="G323" s="135"/>
      <c r="H323" s="138"/>
      <c r="I323" s="142"/>
      <c r="J323" s="137">
        <f>IFERROR(VLOOKUP(C323,'02_TCT GUADAMUR'!$F$6:$U$70,15, FALSE), " ")</f>
        <v>8</v>
      </c>
      <c r="K323" s="142"/>
      <c r="L323" s="135"/>
      <c r="M323" s="135"/>
      <c r="N323" s="138"/>
      <c r="O323" s="135"/>
      <c r="P323" s="135"/>
      <c r="Q323" s="138"/>
      <c r="R323" s="135"/>
      <c r="S323" s="135"/>
      <c r="T323" s="138"/>
      <c r="U323" s="135"/>
      <c r="V323" s="135"/>
      <c r="W323" s="138"/>
      <c r="X323" s="420">
        <f t="shared" si="60"/>
        <v>8</v>
      </c>
      <c r="Y323" s="140" t="str">
        <f t="shared" si="61"/>
        <v>No</v>
      </c>
      <c r="Z323" s="141">
        <f t="shared" si="62"/>
        <v>1</v>
      </c>
      <c r="AA323" s="130"/>
      <c r="AC323" s="130"/>
      <c r="AD323" s="130"/>
      <c r="AE323" s="130"/>
      <c r="AF323" s="130"/>
      <c r="AG323" s="130"/>
      <c r="AH323" s="130"/>
      <c r="AI323" s="130"/>
      <c r="AJ323" s="130"/>
      <c r="AK323" s="130"/>
      <c r="AL323" s="130"/>
      <c r="AM323" s="130"/>
    </row>
    <row r="324" spans="2:39" s="261" customFormat="1" ht="12.75" customHeight="1" x14ac:dyDescent="0.3">
      <c r="B324" s="133">
        <v>6</v>
      </c>
      <c r="C324" s="507" t="s">
        <v>690</v>
      </c>
      <c r="D324" s="496"/>
      <c r="E324" s="497"/>
      <c r="F324" s="135"/>
      <c r="G324" s="135"/>
      <c r="H324" s="138"/>
      <c r="I324" s="142"/>
      <c r="J324" s="137">
        <f>IFERROR(VLOOKUP(C324,'02_TCT GUADAMUR'!$F$6:$U$70,15, FALSE), " ")</f>
        <v>6</v>
      </c>
      <c r="K324" s="142"/>
      <c r="L324" s="135"/>
      <c r="M324" s="135"/>
      <c r="N324" s="138"/>
      <c r="O324" s="135"/>
      <c r="P324" s="135"/>
      <c r="Q324" s="138"/>
      <c r="R324" s="135"/>
      <c r="S324" s="135"/>
      <c r="T324" s="138"/>
      <c r="U324" s="135"/>
      <c r="V324" s="135"/>
      <c r="W324" s="138"/>
      <c r="X324" s="420">
        <f t="shared" si="60"/>
        <v>6</v>
      </c>
      <c r="Y324" s="140" t="str">
        <f t="shared" si="61"/>
        <v>No</v>
      </c>
      <c r="Z324" s="141">
        <f t="shared" si="62"/>
        <v>1</v>
      </c>
      <c r="AA324" s="130"/>
      <c r="AC324" s="130"/>
      <c r="AD324" s="130"/>
      <c r="AE324" s="130"/>
      <c r="AF324" s="130"/>
      <c r="AG324" s="130"/>
      <c r="AH324" s="130"/>
      <c r="AI324" s="130"/>
      <c r="AJ324" s="130"/>
      <c r="AK324" s="130"/>
      <c r="AL324" s="130"/>
      <c r="AM324" s="130"/>
    </row>
    <row r="325" spans="2:39" s="261" customFormat="1" ht="12.75" customHeight="1" x14ac:dyDescent="0.3">
      <c r="B325" s="133">
        <v>7</v>
      </c>
      <c r="C325" s="507" t="s">
        <v>638</v>
      </c>
      <c r="D325" s="496"/>
      <c r="E325" s="497"/>
      <c r="F325" s="142"/>
      <c r="G325" s="137">
        <v>0</v>
      </c>
      <c r="H325" s="142"/>
      <c r="I325" s="142"/>
      <c r="J325" s="137">
        <f>IFERROR(VLOOKUP(C325,'02_TCT GUADAMUR'!$F$6:$U$70,15, FALSE), " ")</f>
        <v>5</v>
      </c>
      <c r="K325" s="142"/>
      <c r="L325" s="135"/>
      <c r="M325" s="135"/>
      <c r="N325" s="138"/>
      <c r="O325" s="135"/>
      <c r="P325" s="135"/>
      <c r="Q325" s="138"/>
      <c r="R325" s="135"/>
      <c r="S325" s="135"/>
      <c r="T325" s="138"/>
      <c r="U325" s="135"/>
      <c r="V325" s="135"/>
      <c r="W325" s="138"/>
      <c r="X325" s="420">
        <f t="shared" si="60"/>
        <v>5</v>
      </c>
      <c r="Y325" s="140" t="str">
        <f t="shared" si="61"/>
        <v>No</v>
      </c>
      <c r="Z325" s="141">
        <f t="shared" si="62"/>
        <v>2</v>
      </c>
      <c r="AA325" s="130"/>
      <c r="AC325" s="130"/>
      <c r="AD325" s="130"/>
      <c r="AE325" s="130"/>
      <c r="AF325" s="130"/>
      <c r="AG325" s="130"/>
      <c r="AH325" s="130"/>
      <c r="AI325" s="130"/>
      <c r="AJ325" s="130"/>
      <c r="AK325" s="130"/>
      <c r="AL325" s="130"/>
      <c r="AM325" s="130"/>
    </row>
    <row r="326" spans="2:39" s="261" customFormat="1" ht="12.75" customHeight="1" x14ac:dyDescent="0.3">
      <c r="B326" s="133" t="s">
        <v>658</v>
      </c>
      <c r="C326" s="507" t="s">
        <v>620</v>
      </c>
      <c r="D326" s="496"/>
      <c r="E326" s="497"/>
      <c r="F326" s="142"/>
      <c r="G326" s="137">
        <f>IFERROR(VLOOKUP(C326,'01_RS ALCARRIA'!$F$6:$U$70,15, FALSE), " ")*2</f>
        <v>0</v>
      </c>
      <c r="H326" s="142"/>
      <c r="I326" s="135"/>
      <c r="J326" s="135"/>
      <c r="K326" s="138"/>
      <c r="L326" s="135"/>
      <c r="M326" s="135"/>
      <c r="N326" s="138"/>
      <c r="O326" s="135"/>
      <c r="P326" s="135"/>
      <c r="Q326" s="138"/>
      <c r="R326" s="135"/>
      <c r="S326" s="135"/>
      <c r="T326" s="138"/>
      <c r="U326" s="135"/>
      <c r="V326" s="135"/>
      <c r="W326" s="138"/>
      <c r="X326" s="420">
        <f t="shared" si="60"/>
        <v>0</v>
      </c>
      <c r="Y326" s="140" t="str">
        <f t="shared" si="61"/>
        <v>No</v>
      </c>
      <c r="Z326" s="141">
        <f t="shared" si="62"/>
        <v>1</v>
      </c>
      <c r="AA326" s="130"/>
      <c r="AC326" s="130"/>
      <c r="AD326" s="130"/>
      <c r="AE326" s="130"/>
      <c r="AF326" s="130"/>
      <c r="AG326" s="130"/>
      <c r="AH326" s="130"/>
      <c r="AI326" s="130"/>
      <c r="AJ326" s="130"/>
      <c r="AK326" s="130"/>
      <c r="AL326" s="130"/>
      <c r="AM326" s="130"/>
    </row>
    <row r="327" spans="2:39" s="261" customFormat="1" ht="12.75" customHeight="1" x14ac:dyDescent="0.3">
      <c r="B327" s="133" t="s">
        <v>658</v>
      </c>
      <c r="C327" s="507" t="s">
        <v>458</v>
      </c>
      <c r="D327" s="496"/>
      <c r="E327" s="497"/>
      <c r="F327" s="135"/>
      <c r="G327" s="135"/>
      <c r="H327" s="138"/>
      <c r="I327" s="142"/>
      <c r="J327" s="137">
        <v>0</v>
      </c>
      <c r="K327" s="142"/>
      <c r="L327" s="135"/>
      <c r="M327" s="135"/>
      <c r="N327" s="138"/>
      <c r="O327" s="135"/>
      <c r="P327" s="135"/>
      <c r="Q327" s="138"/>
      <c r="R327" s="135"/>
      <c r="S327" s="135"/>
      <c r="T327" s="138"/>
      <c r="U327" s="135"/>
      <c r="V327" s="135"/>
      <c r="W327" s="138"/>
      <c r="X327" s="420">
        <f t="shared" si="60"/>
        <v>0</v>
      </c>
      <c r="Y327" s="140" t="str">
        <f t="shared" si="61"/>
        <v>No</v>
      </c>
      <c r="Z327" s="141">
        <f t="shared" si="62"/>
        <v>1</v>
      </c>
      <c r="AA327" s="130"/>
      <c r="AC327" s="130"/>
      <c r="AD327" s="130"/>
      <c r="AE327" s="130"/>
      <c r="AF327" s="130"/>
      <c r="AG327" s="130"/>
      <c r="AH327" s="130"/>
      <c r="AI327" s="130"/>
      <c r="AJ327" s="130"/>
      <c r="AK327" s="130"/>
      <c r="AL327" s="130"/>
      <c r="AM327" s="130"/>
    </row>
    <row r="328" spans="2:39" s="261" customFormat="1" x14ac:dyDescent="0.3"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130"/>
      <c r="Z328" s="130"/>
      <c r="AA328" s="130"/>
      <c r="AC328" s="130"/>
      <c r="AD328" s="130"/>
      <c r="AE328" s="130"/>
      <c r="AF328" s="130"/>
      <c r="AG328" s="130"/>
      <c r="AH328" s="130"/>
      <c r="AI328" s="130"/>
      <c r="AJ328" s="130"/>
      <c r="AK328" s="130"/>
      <c r="AL328" s="130"/>
      <c r="AM328" s="130"/>
    </row>
    <row r="329" spans="2:39" s="261" customFormat="1" ht="12" x14ac:dyDescent="0.3">
      <c r="B329" s="4"/>
      <c r="C329" s="4"/>
      <c r="D329" s="284"/>
      <c r="E329" s="285" t="s">
        <v>551</v>
      </c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130"/>
      <c r="Z329" s="130"/>
      <c r="AA329" s="130"/>
      <c r="AC329" s="130"/>
      <c r="AD329" s="130"/>
      <c r="AE329" s="130"/>
      <c r="AF329" s="130"/>
      <c r="AG329" s="130"/>
      <c r="AH329" s="130"/>
      <c r="AI329" s="130"/>
      <c r="AJ329" s="130"/>
      <c r="AK329" s="130"/>
      <c r="AL329" s="130"/>
      <c r="AM329" s="130"/>
    </row>
    <row r="330" spans="2:39" s="261" customFormat="1" x14ac:dyDescent="0.3"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130"/>
      <c r="Z330" s="130"/>
      <c r="AA330" s="130"/>
      <c r="AC330" s="130"/>
      <c r="AD330" s="130"/>
      <c r="AE330" s="130"/>
      <c r="AF330" s="130"/>
      <c r="AG330" s="130"/>
      <c r="AH330" s="130"/>
      <c r="AI330" s="130"/>
      <c r="AJ330" s="130"/>
      <c r="AK330" s="130"/>
      <c r="AL330" s="130"/>
      <c r="AM330" s="130"/>
    </row>
    <row r="331" spans="2:39" s="261" customFormat="1" ht="39" customHeight="1" x14ac:dyDescent="0.55000000000000004">
      <c r="B331" s="527" t="s">
        <v>516</v>
      </c>
      <c r="C331" s="527"/>
      <c r="D331" s="527"/>
      <c r="E331" s="527"/>
      <c r="F331" s="527"/>
      <c r="G331" s="527"/>
      <c r="H331" s="527"/>
      <c r="I331" s="527"/>
      <c r="J331" s="527"/>
      <c r="K331" s="527"/>
      <c r="L331" s="527"/>
      <c r="M331" s="527"/>
      <c r="N331" s="527"/>
      <c r="O331" s="527"/>
      <c r="P331" s="527"/>
      <c r="Q331" s="527"/>
      <c r="R331" s="527"/>
      <c r="S331" s="527"/>
      <c r="T331" s="527"/>
      <c r="U331" s="527"/>
      <c r="V331" s="527"/>
      <c r="W331" s="4"/>
      <c r="X331" s="4"/>
      <c r="Y331" s="130"/>
      <c r="Z331" s="130"/>
      <c r="AA331" s="130" t="s">
        <v>563</v>
      </c>
      <c r="AC331" s="130"/>
      <c r="AD331" s="130"/>
      <c r="AE331" s="130"/>
      <c r="AF331" s="130"/>
      <c r="AG331" s="130"/>
      <c r="AH331" s="130"/>
      <c r="AI331" s="130"/>
      <c r="AJ331" s="130"/>
      <c r="AK331" s="130"/>
      <c r="AL331" s="130"/>
      <c r="AM331" s="130"/>
    </row>
    <row r="332" spans="2:39" s="261" customFormat="1" ht="37.5" customHeight="1" x14ac:dyDescent="0.3">
      <c r="B332" s="523" t="s">
        <v>352</v>
      </c>
      <c r="C332" s="523"/>
      <c r="D332" s="523"/>
      <c r="E332" s="523"/>
      <c r="F332" s="523"/>
      <c r="G332" s="523"/>
      <c r="H332" s="523"/>
      <c r="I332" s="523"/>
      <c r="J332" s="523"/>
      <c r="K332" s="523"/>
      <c r="L332" s="523"/>
      <c r="M332" s="523"/>
      <c r="N332" s="523"/>
      <c r="O332" s="523"/>
      <c r="P332" s="523"/>
      <c r="Q332" s="523"/>
      <c r="R332" s="523"/>
      <c r="S332" s="523"/>
      <c r="T332" s="523"/>
      <c r="U332" s="523"/>
      <c r="V332" s="523"/>
      <c r="W332" s="4"/>
      <c r="X332" s="4"/>
      <c r="Y332" s="30"/>
      <c r="Z332" s="30"/>
      <c r="AA332" s="130"/>
      <c r="AC332" s="130"/>
      <c r="AD332" s="130"/>
      <c r="AE332" s="130"/>
      <c r="AF332" s="130"/>
      <c r="AG332" s="130"/>
      <c r="AH332" s="130"/>
      <c r="AI332" s="130"/>
      <c r="AJ332" s="130"/>
      <c r="AK332" s="130"/>
      <c r="AL332" s="130"/>
      <c r="AM332" s="130"/>
    </row>
    <row r="333" spans="2:39" s="261" customFormat="1" ht="12.75" customHeight="1" x14ac:dyDescent="0.3">
      <c r="B333" s="430"/>
      <c r="C333" s="416"/>
      <c r="D333" s="422"/>
      <c r="E333" s="224"/>
      <c r="F333" s="424"/>
      <c r="G333" s="422"/>
      <c r="H333" s="226"/>
      <c r="I333" s="426"/>
      <c r="J333" s="422"/>
      <c r="K333" s="226"/>
      <c r="L333" s="426"/>
      <c r="M333" s="422"/>
      <c r="N333" s="226"/>
      <c r="O333" s="426"/>
      <c r="P333" s="422"/>
      <c r="Q333" s="226"/>
      <c r="R333" s="426"/>
      <c r="S333" s="428" t="s">
        <v>213</v>
      </c>
      <c r="T333" s="422"/>
      <c r="U333" s="426"/>
      <c r="V333" s="428" t="s">
        <v>213</v>
      </c>
      <c r="W333" s="413"/>
      <c r="X333" s="431" t="s">
        <v>213</v>
      </c>
      <c r="Y333" s="30"/>
      <c r="Z333" s="30"/>
      <c r="AA333" s="130"/>
      <c r="AC333" s="130"/>
      <c r="AD333" s="130"/>
      <c r="AE333" s="130"/>
      <c r="AF333" s="130"/>
      <c r="AG333" s="130"/>
      <c r="AH333" s="130"/>
      <c r="AI333" s="130"/>
      <c r="AJ333" s="130"/>
      <c r="AK333" s="130"/>
      <c r="AL333" s="130"/>
      <c r="AM333" s="130"/>
    </row>
    <row r="334" spans="2:39" s="261" customFormat="1" ht="12.75" customHeight="1" x14ac:dyDescent="0.3">
      <c r="B334" s="159" t="s">
        <v>0</v>
      </c>
      <c r="C334" s="524" t="s">
        <v>353</v>
      </c>
      <c r="D334" s="525"/>
      <c r="E334" s="526"/>
      <c r="F334" s="421" t="s">
        <v>531</v>
      </c>
      <c r="G334" s="421"/>
      <c r="H334" s="260"/>
      <c r="I334" s="258" t="s">
        <v>524</v>
      </c>
      <c r="J334" s="421"/>
      <c r="K334" s="260"/>
      <c r="L334" s="258" t="s">
        <v>532</v>
      </c>
      <c r="M334" s="421"/>
      <c r="N334" s="260"/>
      <c r="O334" s="258" t="s">
        <v>526</v>
      </c>
      <c r="P334" s="421"/>
      <c r="Q334" s="260"/>
      <c r="R334" s="258" t="s">
        <v>287</v>
      </c>
      <c r="S334" s="421"/>
      <c r="T334" s="259"/>
      <c r="U334" s="258" t="s">
        <v>527</v>
      </c>
      <c r="V334" s="421"/>
      <c r="W334" s="260"/>
      <c r="X334" s="432" t="s">
        <v>9</v>
      </c>
      <c r="Y334" s="519" t="s">
        <v>223</v>
      </c>
      <c r="Z334" s="521" t="s">
        <v>4</v>
      </c>
      <c r="AA334" s="130"/>
      <c r="AC334" s="130"/>
      <c r="AD334" s="130"/>
      <c r="AE334" s="130"/>
      <c r="AF334" s="130"/>
      <c r="AG334" s="130"/>
      <c r="AH334" s="130"/>
      <c r="AI334" s="130"/>
      <c r="AJ334" s="130"/>
      <c r="AK334" s="130"/>
      <c r="AL334" s="130"/>
      <c r="AM334" s="130"/>
    </row>
    <row r="335" spans="2:39" s="261" customFormat="1" ht="12.75" customHeight="1" x14ac:dyDescent="0.3">
      <c r="B335" s="163"/>
      <c r="C335" s="417"/>
      <c r="D335" s="423"/>
      <c r="E335" s="219"/>
      <c r="F335" s="452"/>
      <c r="G335" s="453"/>
      <c r="H335" s="255"/>
      <c r="I335" s="454"/>
      <c r="J335" s="453"/>
      <c r="K335" s="255"/>
      <c r="L335" s="454"/>
      <c r="M335" s="453"/>
      <c r="N335" s="255"/>
      <c r="O335" s="454"/>
      <c r="P335" s="453"/>
      <c r="Q335" s="255"/>
      <c r="R335" s="454"/>
      <c r="S335" s="455"/>
      <c r="T335" s="453"/>
      <c r="U335" s="456"/>
      <c r="V335" s="457" t="s">
        <v>213</v>
      </c>
      <c r="W335" s="458"/>
      <c r="X335" s="459"/>
      <c r="Y335" s="520"/>
      <c r="Z335" s="522"/>
      <c r="AA335" s="130"/>
      <c r="AC335" s="130"/>
      <c r="AD335" s="130"/>
      <c r="AE335" s="130"/>
      <c r="AF335" s="130"/>
      <c r="AG335" s="130"/>
      <c r="AH335" s="130"/>
      <c r="AI335" s="130"/>
      <c r="AJ335" s="130"/>
      <c r="AK335" s="130"/>
      <c r="AL335" s="130"/>
      <c r="AM335" s="130"/>
    </row>
    <row r="336" spans="2:39" s="261" customFormat="1" ht="12.75" customHeight="1" x14ac:dyDescent="0.3">
      <c r="B336" s="133">
        <v>1</v>
      </c>
      <c r="C336" s="507" t="s">
        <v>169</v>
      </c>
      <c r="D336" s="496"/>
      <c r="E336" s="496"/>
      <c r="F336" s="142"/>
      <c r="G336" s="135">
        <f>IFERROR(VLOOKUP(C336,'01_RS ALCARRIA'!$Z$6:$AA$30,2, FALSE), " ")*2</f>
        <v>104</v>
      </c>
      <c r="H336" s="142"/>
      <c r="I336" s="142" t="s">
        <v>213</v>
      </c>
      <c r="J336" s="135">
        <f>IFERROR(VLOOKUP(C336,'02_TCT GUADAMUR'!$Z$6:$AA$30,2, FALSE), " ")</f>
        <v>52</v>
      </c>
      <c r="K336" s="142" t="s">
        <v>213</v>
      </c>
      <c r="L336" s="135"/>
      <c r="M336" s="135"/>
      <c r="N336" s="138"/>
      <c r="O336" s="135"/>
      <c r="P336" s="135"/>
      <c r="Q336" s="138"/>
      <c r="R336" s="135"/>
      <c r="S336" s="135"/>
      <c r="T336" s="138"/>
      <c r="U336" s="135"/>
      <c r="V336" s="135"/>
      <c r="W336" s="138"/>
      <c r="X336" s="460">
        <f t="shared" ref="X336:X345" si="63">SUM(G336,J336,M336,P336,S336,V336)</f>
        <v>156</v>
      </c>
      <c r="Y336" s="140" t="str">
        <f t="shared" ref="Y336:Y345" si="64">IF(Z336&gt;=3,"Sí","No")</f>
        <v>No</v>
      </c>
      <c r="Z336" s="141">
        <f>COUNTA(G336,J336,M336,P336,S336,V336)</f>
        <v>2</v>
      </c>
      <c r="AA336" s="130"/>
      <c r="AC336" s="130"/>
      <c r="AD336" s="130"/>
      <c r="AE336" s="130"/>
      <c r="AF336" s="130"/>
      <c r="AG336" s="130"/>
      <c r="AH336" s="130"/>
      <c r="AI336" s="130"/>
      <c r="AJ336" s="130"/>
      <c r="AK336" s="130"/>
      <c r="AL336" s="130"/>
      <c r="AM336" s="130"/>
    </row>
    <row r="337" spans="2:39" s="261" customFormat="1" ht="13" x14ac:dyDescent="0.3">
      <c r="B337" s="133">
        <v>2</v>
      </c>
      <c r="C337" s="507" t="s">
        <v>588</v>
      </c>
      <c r="D337" s="496"/>
      <c r="E337" s="496"/>
      <c r="F337" s="142"/>
      <c r="G337" s="135">
        <f>IFERROR(VLOOKUP(C337,'01_RS ALCARRIA'!$Z$6:$AA$30,2, FALSE), " ")*2</f>
        <v>26</v>
      </c>
      <c r="H337" s="142"/>
      <c r="I337" s="142" t="s">
        <v>213</v>
      </c>
      <c r="J337" s="135">
        <f>IFERROR(VLOOKUP(C337,'02_TCT GUADAMUR'!$Z$6:$AA$30,2, FALSE), " ")</f>
        <v>38</v>
      </c>
      <c r="K337" s="142" t="s">
        <v>213</v>
      </c>
      <c r="L337" s="135"/>
      <c r="M337" s="135"/>
      <c r="N337" s="138"/>
      <c r="O337" s="135"/>
      <c r="P337" s="135"/>
      <c r="Q337" s="138"/>
      <c r="R337" s="135"/>
      <c r="S337" s="135"/>
      <c r="T337" s="138"/>
      <c r="U337" s="135"/>
      <c r="V337" s="135"/>
      <c r="W337" s="138"/>
      <c r="X337" s="460">
        <f t="shared" si="63"/>
        <v>64</v>
      </c>
      <c r="Y337" s="140" t="str">
        <f t="shared" si="64"/>
        <v>No</v>
      </c>
      <c r="Z337" s="141">
        <f t="shared" ref="Z337:Z345" si="65">COUNTA(G337,J337,M337,P337,S337,V337)</f>
        <v>2</v>
      </c>
      <c r="AA337" s="130"/>
      <c r="AC337" s="130"/>
      <c r="AD337" s="130"/>
      <c r="AE337" s="130"/>
      <c r="AF337" s="130"/>
      <c r="AG337" s="130"/>
      <c r="AH337" s="130"/>
      <c r="AI337" s="130"/>
      <c r="AJ337" s="130"/>
      <c r="AK337" s="130"/>
      <c r="AL337" s="130"/>
      <c r="AM337" s="130"/>
    </row>
    <row r="338" spans="2:39" s="261" customFormat="1" ht="12.75" customHeight="1" x14ac:dyDescent="0.3">
      <c r="B338" s="133">
        <v>3</v>
      </c>
      <c r="C338" s="507" t="s">
        <v>567</v>
      </c>
      <c r="D338" s="496"/>
      <c r="E338" s="496"/>
      <c r="F338" s="142"/>
      <c r="G338" s="135">
        <f>IFERROR(VLOOKUP(C338,'01_RS ALCARRIA'!$Z$6:$AA$30,2, FALSE), " ")*2</f>
        <v>54</v>
      </c>
      <c r="H338" s="142"/>
      <c r="I338" s="142" t="s">
        <v>213</v>
      </c>
      <c r="J338" s="135">
        <f>IFERROR(VLOOKUP(C338,'02_TCT GUADAMUR'!$Z$6:$AA$30,2, FALSE), " ")</f>
        <v>5</v>
      </c>
      <c r="K338" s="142" t="s">
        <v>213</v>
      </c>
      <c r="L338" s="135"/>
      <c r="M338" s="135"/>
      <c r="N338" s="138"/>
      <c r="O338" s="135"/>
      <c r="P338" s="135"/>
      <c r="Q338" s="138"/>
      <c r="R338" s="135"/>
      <c r="S338" s="135"/>
      <c r="T338" s="138"/>
      <c r="U338" s="135"/>
      <c r="V338" s="135"/>
      <c r="W338" s="138"/>
      <c r="X338" s="460">
        <f t="shared" si="63"/>
        <v>59</v>
      </c>
      <c r="Y338" s="140" t="str">
        <f t="shared" si="64"/>
        <v>No</v>
      </c>
      <c r="Z338" s="141">
        <f t="shared" si="65"/>
        <v>2</v>
      </c>
      <c r="AA338" s="130"/>
      <c r="AC338" s="130"/>
      <c r="AD338" s="130"/>
      <c r="AE338" s="130"/>
      <c r="AF338" s="130"/>
      <c r="AG338" s="130"/>
      <c r="AH338" s="130"/>
      <c r="AI338" s="130"/>
      <c r="AJ338" s="130"/>
      <c r="AK338" s="130"/>
      <c r="AL338" s="130"/>
      <c r="AM338" s="130"/>
    </row>
    <row r="339" spans="2:39" s="261" customFormat="1" ht="12.75" customHeight="1" x14ac:dyDescent="0.3">
      <c r="B339" s="133">
        <v>4</v>
      </c>
      <c r="C339" s="507" t="s">
        <v>172</v>
      </c>
      <c r="D339" s="496"/>
      <c r="E339" s="496"/>
      <c r="F339" s="142"/>
      <c r="G339" s="135">
        <f>IFERROR(VLOOKUP(C339,'01_RS ALCARRIA'!$Z$6:$AA$30,2, FALSE), " ")*2</f>
        <v>32</v>
      </c>
      <c r="H339" s="142"/>
      <c r="I339" s="142" t="s">
        <v>213</v>
      </c>
      <c r="J339" s="135">
        <f>IFERROR(VLOOKUP(C339,'02_TCT GUADAMUR'!$Z$6:$AA$30,2, FALSE), " ")</f>
        <v>26</v>
      </c>
      <c r="K339" s="142" t="s">
        <v>213</v>
      </c>
      <c r="L339" s="135"/>
      <c r="M339" s="135"/>
      <c r="N339" s="138"/>
      <c r="O339" s="135"/>
      <c r="P339" s="135"/>
      <c r="Q339" s="138"/>
      <c r="R339" s="135"/>
      <c r="S339" s="135"/>
      <c r="T339" s="138"/>
      <c r="U339" s="135"/>
      <c r="V339" s="135"/>
      <c r="W339" s="138"/>
      <c r="X339" s="460">
        <f t="shared" si="63"/>
        <v>58</v>
      </c>
      <c r="Y339" s="140" t="str">
        <f t="shared" si="64"/>
        <v>No</v>
      </c>
      <c r="Z339" s="141">
        <f t="shared" si="65"/>
        <v>2</v>
      </c>
      <c r="AA339" s="130"/>
      <c r="AC339" s="130"/>
      <c r="AD339" s="130"/>
      <c r="AE339" s="130"/>
      <c r="AF339" s="130"/>
      <c r="AG339" s="130"/>
      <c r="AH339" s="130"/>
      <c r="AI339" s="130"/>
      <c r="AJ339" s="130"/>
      <c r="AK339" s="130"/>
      <c r="AL339" s="130"/>
      <c r="AM339" s="130"/>
    </row>
    <row r="340" spans="2:39" ht="12.75" customHeight="1" x14ac:dyDescent="0.3">
      <c r="B340" s="133">
        <v>5</v>
      </c>
      <c r="C340" s="507" t="s">
        <v>171</v>
      </c>
      <c r="D340" s="496"/>
      <c r="E340" s="496"/>
      <c r="F340" s="142"/>
      <c r="G340" s="135">
        <f>IFERROR(VLOOKUP(C340,'01_RS ALCARRIA'!$Z$6:$AA$30,2, FALSE), " ")*2</f>
        <v>16</v>
      </c>
      <c r="H340" s="142"/>
      <c r="I340" s="142" t="s">
        <v>213</v>
      </c>
      <c r="J340" s="135" t="str">
        <f>IFERROR(VLOOKUP(C340,'02_TCT GUADAMUR'!$Z$6:$AA$30,2, FALSE), " ")</f>
        <v xml:space="preserve"> </v>
      </c>
      <c r="K340" s="142" t="s">
        <v>213</v>
      </c>
      <c r="L340" s="135"/>
      <c r="M340" s="135"/>
      <c r="N340" s="138"/>
      <c r="O340" s="135"/>
      <c r="P340" s="135"/>
      <c r="Q340" s="138"/>
      <c r="R340" s="135"/>
      <c r="S340" s="135"/>
      <c r="T340" s="138"/>
      <c r="U340" s="135"/>
      <c r="V340" s="135"/>
      <c r="W340" s="138"/>
      <c r="X340" s="460">
        <f t="shared" si="63"/>
        <v>16</v>
      </c>
      <c r="Y340" s="140" t="str">
        <f t="shared" si="64"/>
        <v>No</v>
      </c>
      <c r="Z340" s="141">
        <f t="shared" si="65"/>
        <v>2</v>
      </c>
    </row>
    <row r="341" spans="2:39" ht="12.75" customHeight="1" x14ac:dyDescent="0.3">
      <c r="B341" s="133">
        <v>6</v>
      </c>
      <c r="C341" s="507" t="s">
        <v>330</v>
      </c>
      <c r="D341" s="496"/>
      <c r="E341" s="496"/>
      <c r="F341" s="142"/>
      <c r="G341" s="135">
        <f>IFERROR(VLOOKUP(C341,'01_RS ALCARRIA'!$Z$6:$AA$30,2, FALSE), " ")*2</f>
        <v>8</v>
      </c>
      <c r="H341" s="142"/>
      <c r="I341" s="142" t="s">
        <v>213</v>
      </c>
      <c r="J341" s="135">
        <f>IFERROR(VLOOKUP(C341,'02_TCT GUADAMUR'!$Z$6:$AA$30,2, FALSE), " ")</f>
        <v>4</v>
      </c>
      <c r="K341" s="142" t="s">
        <v>213</v>
      </c>
      <c r="L341" s="135"/>
      <c r="M341" s="135"/>
      <c r="N341" s="138"/>
      <c r="O341" s="135"/>
      <c r="P341" s="135"/>
      <c r="Q341" s="138"/>
      <c r="R341" s="135"/>
      <c r="S341" s="135"/>
      <c r="T341" s="138"/>
      <c r="U341" s="135"/>
      <c r="V341" s="135"/>
      <c r="W341" s="138"/>
      <c r="X341" s="460">
        <f t="shared" si="63"/>
        <v>12</v>
      </c>
      <c r="Y341" s="140" t="str">
        <f t="shared" si="64"/>
        <v>No</v>
      </c>
      <c r="Z341" s="141">
        <f t="shared" si="65"/>
        <v>2</v>
      </c>
    </row>
    <row r="342" spans="2:39" ht="12.75" customHeight="1" x14ac:dyDescent="0.3">
      <c r="B342" s="133">
        <v>7</v>
      </c>
      <c r="C342" s="507" t="s">
        <v>609</v>
      </c>
      <c r="D342" s="496"/>
      <c r="E342" s="496"/>
      <c r="F342" s="142"/>
      <c r="G342" s="135">
        <f>IFERROR(VLOOKUP(C342,'01_RS ALCARRIA'!$Z$6:$AA$30,2, FALSE), " ")*2</f>
        <v>0</v>
      </c>
      <c r="H342" s="142"/>
      <c r="I342" s="142" t="s">
        <v>213</v>
      </c>
      <c r="J342" s="135">
        <f>IFERROR(VLOOKUP(C342,'02_TCT GUADAMUR'!$Z$6:$AA$30,2, FALSE), " ")</f>
        <v>2</v>
      </c>
      <c r="K342" s="142" t="s">
        <v>213</v>
      </c>
      <c r="L342" s="135"/>
      <c r="M342" s="135"/>
      <c r="N342" s="138"/>
      <c r="O342" s="135"/>
      <c r="P342" s="135"/>
      <c r="Q342" s="138"/>
      <c r="R342" s="135"/>
      <c r="S342" s="135"/>
      <c r="T342" s="138"/>
      <c r="U342" s="135"/>
      <c r="V342" s="135"/>
      <c r="W342" s="138"/>
      <c r="X342" s="460">
        <f t="shared" si="63"/>
        <v>2</v>
      </c>
      <c r="Y342" s="140" t="str">
        <f t="shared" si="64"/>
        <v>No</v>
      </c>
      <c r="Z342" s="141">
        <f t="shared" si="65"/>
        <v>2</v>
      </c>
    </row>
    <row r="343" spans="2:39" ht="12.75" customHeight="1" x14ac:dyDescent="0.3">
      <c r="B343" s="133" t="s">
        <v>658</v>
      </c>
      <c r="C343" s="507" t="s">
        <v>634</v>
      </c>
      <c r="D343" s="496"/>
      <c r="E343" s="496"/>
      <c r="F343" s="142"/>
      <c r="G343" s="135">
        <f>IFERROR(VLOOKUP(C343,'01_RS ALCARRIA'!$Z$6:$AA$30,2, FALSE), " ")*2</f>
        <v>0</v>
      </c>
      <c r="H343" s="142"/>
      <c r="I343" s="142" t="s">
        <v>213</v>
      </c>
      <c r="J343" s="135"/>
      <c r="K343" s="142" t="s">
        <v>213</v>
      </c>
      <c r="L343" s="135"/>
      <c r="M343" s="135"/>
      <c r="N343" s="138"/>
      <c r="O343" s="135"/>
      <c r="P343" s="135"/>
      <c r="Q343" s="138"/>
      <c r="R343" s="135"/>
      <c r="S343" s="135"/>
      <c r="T343" s="138"/>
      <c r="U343" s="135"/>
      <c r="V343" s="135"/>
      <c r="W343" s="138"/>
      <c r="X343" s="460">
        <f t="shared" si="63"/>
        <v>0</v>
      </c>
      <c r="Y343" s="140" t="str">
        <f t="shared" si="64"/>
        <v>No</v>
      </c>
      <c r="Z343" s="141">
        <f t="shared" si="65"/>
        <v>1</v>
      </c>
    </row>
    <row r="344" spans="2:39" ht="12.75" customHeight="1" x14ac:dyDescent="0.3">
      <c r="B344" s="133" t="s">
        <v>658</v>
      </c>
      <c r="C344" s="507" t="s">
        <v>444</v>
      </c>
      <c r="D344" s="496"/>
      <c r="E344" s="496"/>
      <c r="F344" s="142"/>
      <c r="G344" s="135">
        <f>IFERROR(VLOOKUP(C344,'01_RS ALCARRIA'!$Z$6:$AA$30,2, FALSE), " ")*2</f>
        <v>0</v>
      </c>
      <c r="H344" s="142"/>
      <c r="I344" s="142" t="s">
        <v>213</v>
      </c>
      <c r="J344" s="135"/>
      <c r="K344" s="142" t="s">
        <v>213</v>
      </c>
      <c r="L344" s="135"/>
      <c r="M344" s="135"/>
      <c r="N344" s="138"/>
      <c r="O344" s="135"/>
      <c r="P344" s="135"/>
      <c r="Q344" s="138"/>
      <c r="R344" s="135"/>
      <c r="S344" s="135"/>
      <c r="T344" s="138"/>
      <c r="U344" s="135"/>
      <c r="V344" s="135"/>
      <c r="W344" s="138"/>
      <c r="X344" s="460">
        <f t="shared" si="63"/>
        <v>0</v>
      </c>
      <c r="Y344" s="140" t="str">
        <f t="shared" si="64"/>
        <v>No</v>
      </c>
      <c r="Z344" s="141">
        <f t="shared" si="65"/>
        <v>1</v>
      </c>
    </row>
    <row r="345" spans="2:39" ht="12.75" customHeight="1" x14ac:dyDescent="0.3">
      <c r="B345" s="133" t="s">
        <v>658</v>
      </c>
      <c r="C345" s="507" t="s">
        <v>304</v>
      </c>
      <c r="D345" s="496"/>
      <c r="E345" s="496"/>
      <c r="F345" s="142"/>
      <c r="G345" s="135"/>
      <c r="H345" s="142"/>
      <c r="I345" s="142" t="s">
        <v>213</v>
      </c>
      <c r="J345" s="135">
        <f>IFERROR(VLOOKUP(C345,'02_TCT GUADAMUR'!$Z$6:$AA$30,2, FALSE), " ")</f>
        <v>0</v>
      </c>
      <c r="K345" s="142" t="s">
        <v>213</v>
      </c>
      <c r="L345" s="135"/>
      <c r="M345" s="135"/>
      <c r="N345" s="138"/>
      <c r="O345" s="135"/>
      <c r="P345" s="135"/>
      <c r="Q345" s="138"/>
      <c r="R345" s="135"/>
      <c r="S345" s="135"/>
      <c r="T345" s="138"/>
      <c r="U345" s="135"/>
      <c r="V345" s="135"/>
      <c r="W345" s="138"/>
      <c r="X345" s="460">
        <f t="shared" si="63"/>
        <v>0</v>
      </c>
      <c r="Y345" s="140" t="str">
        <f t="shared" si="64"/>
        <v>No</v>
      </c>
      <c r="Z345" s="141">
        <f t="shared" si="65"/>
        <v>1</v>
      </c>
    </row>
    <row r="346" spans="2:39" x14ac:dyDescent="0.3">
      <c r="T346" s="4"/>
      <c r="U346" s="4"/>
      <c r="V346" s="4"/>
      <c r="W346" s="4"/>
      <c r="X346" s="4"/>
    </row>
    <row r="347" spans="2:39" x14ac:dyDescent="0.3">
      <c r="T347" s="4"/>
      <c r="U347" s="4"/>
      <c r="V347" s="4"/>
      <c r="W347" s="4"/>
      <c r="X347" s="4"/>
    </row>
    <row r="348" spans="2:39" ht="3.5" customHeight="1" x14ac:dyDescent="0.3"/>
    <row r="349" spans="2:39" hidden="1" x14ac:dyDescent="0.3"/>
    <row r="350" spans="2:39" ht="39" customHeight="1" x14ac:dyDescent="0.55000000000000004">
      <c r="B350" s="527" t="s">
        <v>554</v>
      </c>
      <c r="C350" s="527"/>
      <c r="D350" s="527"/>
      <c r="E350" s="527"/>
      <c r="F350" s="527"/>
      <c r="G350" s="527"/>
      <c r="H350" s="527"/>
      <c r="I350" s="527"/>
      <c r="J350" s="527"/>
      <c r="K350" s="527"/>
      <c r="L350" s="527"/>
      <c r="M350" s="527"/>
      <c r="N350" s="527"/>
      <c r="O350" s="527"/>
      <c r="P350" s="527"/>
      <c r="Q350" s="527"/>
      <c r="R350" s="527"/>
      <c r="S350" s="527"/>
      <c r="T350" s="527"/>
      <c r="U350" s="527"/>
      <c r="V350" s="527"/>
      <c r="W350" s="4"/>
      <c r="X350" s="4"/>
      <c r="Y350" s="130" t="s">
        <v>660</v>
      </c>
    </row>
    <row r="351" spans="2:39" ht="37.5" customHeight="1" x14ac:dyDescent="0.3">
      <c r="B351" s="523" t="s">
        <v>224</v>
      </c>
      <c r="C351" s="523"/>
      <c r="D351" s="523"/>
      <c r="E351" s="523"/>
      <c r="F351" s="523"/>
      <c r="G351" s="523"/>
      <c r="H351" s="523"/>
      <c r="I351" s="523"/>
      <c r="J351" s="523"/>
      <c r="K351" s="523"/>
      <c r="L351" s="523"/>
      <c r="M351" s="523"/>
      <c r="N351" s="523"/>
      <c r="O351" s="523"/>
      <c r="P351" s="523"/>
      <c r="Q351" s="523"/>
      <c r="R351" s="523"/>
      <c r="S351" s="523"/>
      <c r="T351" s="523"/>
      <c r="U351" s="523"/>
      <c r="V351" s="523"/>
      <c r="W351" s="4"/>
      <c r="X351" s="4"/>
      <c r="Y351" s="30"/>
      <c r="Z351" s="30"/>
    </row>
    <row r="352" spans="2:39" ht="12.75" customHeight="1" x14ac:dyDescent="0.3">
      <c r="B352" s="430"/>
      <c r="C352" s="416"/>
      <c r="D352" s="422"/>
      <c r="E352" s="224"/>
      <c r="F352" s="424"/>
      <c r="G352" s="422"/>
      <c r="H352" s="226"/>
      <c r="I352" s="426"/>
      <c r="J352" s="422"/>
      <c r="K352" s="226"/>
      <c r="L352" s="426"/>
      <c r="M352" s="422"/>
      <c r="N352" s="226"/>
      <c r="O352" s="426"/>
      <c r="P352" s="422"/>
      <c r="Q352" s="226"/>
      <c r="R352" s="426"/>
      <c r="S352" s="428" t="s">
        <v>213</v>
      </c>
      <c r="T352" s="422"/>
      <c r="U352" s="426"/>
      <c r="V352" s="428" t="s">
        <v>213</v>
      </c>
      <c r="W352" s="413"/>
      <c r="X352" s="431" t="s">
        <v>213</v>
      </c>
      <c r="Y352" s="30"/>
      <c r="Z352" s="30"/>
    </row>
    <row r="353" spans="2:26" ht="12.75" customHeight="1" x14ac:dyDescent="0.3">
      <c r="B353" s="159" t="s">
        <v>0</v>
      </c>
      <c r="C353" s="524" t="s">
        <v>1</v>
      </c>
      <c r="D353" s="525"/>
      <c r="E353" s="526"/>
      <c r="F353" s="421" t="s">
        <v>531</v>
      </c>
      <c r="G353" s="421"/>
      <c r="H353" s="260"/>
      <c r="I353" s="258" t="s">
        <v>524</v>
      </c>
      <c r="J353" s="421"/>
      <c r="K353" s="260"/>
      <c r="L353" s="258" t="s">
        <v>532</v>
      </c>
      <c r="M353" s="421"/>
      <c r="N353" s="260"/>
      <c r="O353" s="258" t="s">
        <v>526</v>
      </c>
      <c r="P353" s="421"/>
      <c r="Q353" s="260"/>
      <c r="R353" s="258" t="s">
        <v>287</v>
      </c>
      <c r="S353" s="421"/>
      <c r="T353" s="259"/>
      <c r="U353" s="258" t="s">
        <v>527</v>
      </c>
      <c r="V353" s="421"/>
      <c r="W353" s="260"/>
      <c r="X353" s="432" t="s">
        <v>9</v>
      </c>
      <c r="Y353" s="519" t="s">
        <v>223</v>
      </c>
      <c r="Z353" s="521" t="s">
        <v>4</v>
      </c>
    </row>
    <row r="354" spans="2:26" ht="12.75" customHeight="1" x14ac:dyDescent="0.3">
      <c r="B354" s="163"/>
      <c r="C354" s="417"/>
      <c r="D354" s="423"/>
      <c r="E354" s="219"/>
      <c r="F354" s="425"/>
      <c r="G354" s="423"/>
      <c r="H354" s="221"/>
      <c r="I354" s="427"/>
      <c r="J354" s="423"/>
      <c r="K354" s="221"/>
      <c r="L354" s="427"/>
      <c r="M354" s="423"/>
      <c r="N354" s="221"/>
      <c r="O354" s="427"/>
      <c r="P354" s="423"/>
      <c r="Q354" s="221"/>
      <c r="R354" s="427"/>
      <c r="S354" s="429"/>
      <c r="T354" s="423"/>
      <c r="U354" s="433"/>
      <c r="V354" s="434" t="s">
        <v>213</v>
      </c>
      <c r="W354" s="435"/>
      <c r="X354" s="256"/>
      <c r="Y354" s="520"/>
      <c r="Z354" s="522"/>
    </row>
    <row r="355" spans="2:26" ht="12.75" customHeight="1" x14ac:dyDescent="0.3">
      <c r="B355" s="133">
        <v>1</v>
      </c>
      <c r="C355" s="237" t="s">
        <v>595</v>
      </c>
      <c r="D355" s="474"/>
      <c r="E355" s="238"/>
      <c r="F355" s="317"/>
      <c r="G355" s="498">
        <v>20</v>
      </c>
      <c r="H355" s="419"/>
      <c r="I355" s="317"/>
      <c r="J355" s="498">
        <v>16</v>
      </c>
      <c r="K355" s="419"/>
      <c r="L355" s="135"/>
      <c r="M355" s="135"/>
      <c r="N355" s="138"/>
      <c r="O355" s="135"/>
      <c r="P355" s="135"/>
      <c r="Q355" s="138"/>
      <c r="R355" s="135"/>
      <c r="S355" s="135"/>
      <c r="T355" s="138"/>
      <c r="U355" s="135"/>
      <c r="V355" s="135"/>
      <c r="W355" s="138"/>
      <c r="X355" s="420">
        <f>G355+J355+M355+P355+S355+V355</f>
        <v>36</v>
      </c>
      <c r="Y355" s="140" t="str">
        <f>IF(Z355&gt;=3,"Sí","No")</f>
        <v>No</v>
      </c>
      <c r="Z355" s="141">
        <f>COUNTA(G355,J355,M355,P355,S355,V355)</f>
        <v>2</v>
      </c>
    </row>
    <row r="356" spans="2:26" ht="12.75" customHeight="1" x14ac:dyDescent="0.3">
      <c r="B356" s="133">
        <v>2</v>
      </c>
      <c r="C356" s="237" t="s">
        <v>606</v>
      </c>
      <c r="D356" s="474"/>
      <c r="E356" s="238"/>
      <c r="F356" s="317"/>
      <c r="G356" s="498">
        <v>16</v>
      </c>
      <c r="H356" s="419"/>
      <c r="I356" s="317"/>
      <c r="J356" s="498">
        <v>14</v>
      </c>
      <c r="K356" s="419"/>
      <c r="L356" s="135"/>
      <c r="M356" s="135"/>
      <c r="N356" s="138"/>
      <c r="O356" s="135"/>
      <c r="P356" s="135"/>
      <c r="Q356" s="138"/>
      <c r="R356" s="135"/>
      <c r="S356" s="135"/>
      <c r="T356" s="138"/>
      <c r="U356" s="135"/>
      <c r="V356" s="135"/>
      <c r="W356" s="138"/>
      <c r="X356" s="420">
        <f>G356+J356+M356+P356+S356+V356</f>
        <v>30</v>
      </c>
      <c r="Y356" s="140" t="str">
        <f>IF(Z356&gt;=3,"Sí","No")</f>
        <v>No</v>
      </c>
      <c r="Z356" s="141">
        <f>COUNTA(G356,J356,M356,P356,S356,V356)</f>
        <v>2</v>
      </c>
    </row>
    <row r="357" spans="2:26" ht="12.75" customHeight="1" x14ac:dyDescent="0.3">
      <c r="B357" s="133">
        <v>3</v>
      </c>
      <c r="C357" s="237" t="s">
        <v>607</v>
      </c>
      <c r="D357" s="474"/>
      <c r="E357" s="238"/>
      <c r="F357" s="317"/>
      <c r="G357" s="498">
        <v>14</v>
      </c>
      <c r="H357" s="419"/>
      <c r="I357" s="317"/>
      <c r="J357" s="498">
        <v>12</v>
      </c>
      <c r="K357" s="419"/>
      <c r="L357" s="135"/>
      <c r="M357" s="135"/>
      <c r="N357" s="138"/>
      <c r="O357" s="135"/>
      <c r="P357" s="135"/>
      <c r="Q357" s="138"/>
      <c r="R357" s="135"/>
      <c r="S357" s="135"/>
      <c r="T357" s="138"/>
      <c r="U357" s="135"/>
      <c r="V357" s="135"/>
      <c r="W357" s="138"/>
      <c r="X357" s="420">
        <f>G357+J357+M357+P357+S357+V357</f>
        <v>26</v>
      </c>
      <c r="Y357" s="140" t="str">
        <f>IF(Z357&gt;=3,"Sí","No")</f>
        <v>No</v>
      </c>
      <c r="Z357" s="141">
        <f>COUNTA(G357,J357,M357,P357,S357,V357)</f>
        <v>2</v>
      </c>
    </row>
    <row r="358" spans="2:26" ht="12.75" customHeight="1" x14ac:dyDescent="0.3">
      <c r="B358" s="133">
        <v>4</v>
      </c>
      <c r="C358" s="237" t="s">
        <v>671</v>
      </c>
      <c r="D358" s="474"/>
      <c r="E358" s="238"/>
      <c r="F358" s="135"/>
      <c r="G358" s="135"/>
      <c r="H358" s="138"/>
      <c r="I358" s="317"/>
      <c r="J358" s="498">
        <v>20</v>
      </c>
      <c r="K358" s="419"/>
      <c r="L358" s="135"/>
      <c r="M358" s="135"/>
      <c r="N358" s="138"/>
      <c r="O358" s="135"/>
      <c r="P358" s="135"/>
      <c r="Q358" s="138"/>
      <c r="R358" s="135"/>
      <c r="S358" s="135"/>
      <c r="T358" s="138"/>
      <c r="U358" s="135"/>
      <c r="V358" s="135"/>
      <c r="W358" s="138"/>
      <c r="X358" s="420">
        <f>G358+J358+M358+P358+S358+V358</f>
        <v>20</v>
      </c>
      <c r="Y358" s="140" t="str">
        <f>IF(Z358&gt;=3,"Sí","No")</f>
        <v>No</v>
      </c>
      <c r="Z358" s="141">
        <f>COUNTA(G358,J358,M358,P358,S358,V358)</f>
        <v>1</v>
      </c>
    </row>
    <row r="359" spans="2:26" ht="12.75" customHeight="1" x14ac:dyDescent="0.3">
      <c r="B359" s="133" t="s">
        <v>658</v>
      </c>
      <c r="C359" s="237" t="s">
        <v>632</v>
      </c>
      <c r="D359" s="474"/>
      <c r="E359" s="238"/>
      <c r="F359" s="317"/>
      <c r="G359" s="498">
        <v>0</v>
      </c>
      <c r="H359" s="419"/>
      <c r="I359" s="135"/>
      <c r="J359" s="135"/>
      <c r="K359" s="138"/>
      <c r="L359" s="135"/>
      <c r="M359" s="135"/>
      <c r="N359" s="138"/>
      <c r="O359" s="135"/>
      <c r="P359" s="135"/>
      <c r="Q359" s="138"/>
      <c r="R359" s="135"/>
      <c r="S359" s="135"/>
      <c r="T359" s="138"/>
      <c r="U359" s="135"/>
      <c r="V359" s="135"/>
      <c r="W359" s="138"/>
      <c r="X359" s="420">
        <f>G359+J359+M359+P359+S359+V359</f>
        <v>0</v>
      </c>
      <c r="Y359" s="140" t="str">
        <f>IF(Z359&gt;=3,"Sí","No")</f>
        <v>No</v>
      </c>
      <c r="Z359" s="141">
        <f>COUNTA(G359,J359,M359,P359,S359,V359)</f>
        <v>1</v>
      </c>
    </row>
    <row r="360" spans="2:26" x14ac:dyDescent="0.3">
      <c r="T360" s="4"/>
      <c r="U360" s="4"/>
      <c r="V360" s="4"/>
      <c r="W360" s="4"/>
      <c r="X360" s="4"/>
    </row>
    <row r="362" spans="2:26" ht="39" customHeight="1" x14ac:dyDescent="0.55000000000000004">
      <c r="B362" s="527" t="s">
        <v>554</v>
      </c>
      <c r="C362" s="527"/>
      <c r="D362" s="527"/>
      <c r="E362" s="527"/>
      <c r="F362" s="527"/>
      <c r="G362" s="527"/>
      <c r="H362" s="527"/>
      <c r="I362" s="527"/>
      <c r="J362" s="527"/>
      <c r="K362" s="527"/>
      <c r="L362" s="527"/>
      <c r="M362" s="527"/>
      <c r="N362" s="527"/>
      <c r="O362" s="527"/>
      <c r="P362" s="527"/>
      <c r="Q362" s="527"/>
      <c r="R362" s="527"/>
      <c r="S362" s="527"/>
      <c r="T362" s="527"/>
      <c r="U362" s="527"/>
      <c r="V362" s="527"/>
      <c r="W362" s="4"/>
      <c r="X362" s="4"/>
    </row>
    <row r="363" spans="2:26" ht="37.5" customHeight="1" x14ac:dyDescent="0.3">
      <c r="B363" s="523" t="s">
        <v>338</v>
      </c>
      <c r="C363" s="523"/>
      <c r="D363" s="523"/>
      <c r="E363" s="523"/>
      <c r="F363" s="523"/>
      <c r="G363" s="523"/>
      <c r="H363" s="523"/>
      <c r="I363" s="523"/>
      <c r="J363" s="523"/>
      <c r="K363" s="523"/>
      <c r="L363" s="523"/>
      <c r="M363" s="523"/>
      <c r="N363" s="523"/>
      <c r="O363" s="523"/>
      <c r="P363" s="523"/>
      <c r="Q363" s="523"/>
      <c r="R363" s="523"/>
      <c r="S363" s="523"/>
      <c r="T363" s="523"/>
      <c r="U363" s="523"/>
      <c r="V363" s="523"/>
      <c r="W363" s="4"/>
      <c r="X363" s="4"/>
      <c r="Y363" s="30"/>
      <c r="Z363" s="30"/>
    </row>
    <row r="364" spans="2:26" ht="12.75" customHeight="1" x14ac:dyDescent="0.3">
      <c r="B364" s="430"/>
      <c r="C364" s="416"/>
      <c r="D364" s="422"/>
      <c r="E364" s="224"/>
      <c r="F364" s="424"/>
      <c r="G364" s="422"/>
      <c r="H364" s="226"/>
      <c r="I364" s="426"/>
      <c r="J364" s="422"/>
      <c r="K364" s="226"/>
      <c r="L364" s="426"/>
      <c r="M364" s="422"/>
      <c r="N364" s="226"/>
      <c r="O364" s="426"/>
      <c r="P364" s="422"/>
      <c r="Q364" s="226"/>
      <c r="R364" s="426"/>
      <c r="S364" s="428" t="s">
        <v>213</v>
      </c>
      <c r="T364" s="422"/>
      <c r="U364" s="426"/>
      <c r="V364" s="428" t="s">
        <v>213</v>
      </c>
      <c r="W364" s="413"/>
      <c r="X364" s="431" t="s">
        <v>213</v>
      </c>
      <c r="Y364" s="30"/>
      <c r="Z364" s="30"/>
    </row>
    <row r="365" spans="2:26" ht="12.75" customHeight="1" x14ac:dyDescent="0.3">
      <c r="B365" s="159" t="s">
        <v>0</v>
      </c>
      <c r="C365" s="524" t="s">
        <v>166</v>
      </c>
      <c r="D365" s="525"/>
      <c r="E365" s="526"/>
      <c r="F365" s="421" t="s">
        <v>531</v>
      </c>
      <c r="G365" s="421"/>
      <c r="H365" s="260"/>
      <c r="I365" s="258" t="s">
        <v>524</v>
      </c>
      <c r="J365" s="421"/>
      <c r="K365" s="260"/>
      <c r="L365" s="258" t="s">
        <v>532</v>
      </c>
      <c r="M365" s="421"/>
      <c r="N365" s="260"/>
      <c r="O365" s="258" t="s">
        <v>526</v>
      </c>
      <c r="P365" s="421"/>
      <c r="Q365" s="260"/>
      <c r="R365" s="258" t="s">
        <v>287</v>
      </c>
      <c r="S365" s="421"/>
      <c r="T365" s="259"/>
      <c r="U365" s="258" t="s">
        <v>527</v>
      </c>
      <c r="V365" s="421"/>
      <c r="W365" s="260"/>
      <c r="X365" s="432" t="s">
        <v>9</v>
      </c>
      <c r="Y365" s="519" t="s">
        <v>223</v>
      </c>
      <c r="Z365" s="521" t="s">
        <v>4</v>
      </c>
    </row>
    <row r="366" spans="2:26" ht="12.75" customHeight="1" x14ac:dyDescent="0.3">
      <c r="B366" s="163"/>
      <c r="C366" s="417"/>
      <c r="D366" s="423"/>
      <c r="E366" s="219"/>
      <c r="F366" s="425"/>
      <c r="G366" s="423"/>
      <c r="H366" s="221"/>
      <c r="I366" s="427"/>
      <c r="J366" s="423"/>
      <c r="K366" s="221"/>
      <c r="L366" s="427"/>
      <c r="M366" s="423"/>
      <c r="N366" s="221"/>
      <c r="O366" s="427"/>
      <c r="P366" s="423"/>
      <c r="Q366" s="221"/>
      <c r="R366" s="427"/>
      <c r="S366" s="429"/>
      <c r="T366" s="423"/>
      <c r="U366" s="433"/>
      <c r="V366" s="434" t="s">
        <v>213</v>
      </c>
      <c r="W366" s="435"/>
      <c r="X366" s="256"/>
      <c r="Y366" s="520"/>
      <c r="Z366" s="522"/>
    </row>
    <row r="367" spans="2:26" ht="12.75" customHeight="1" x14ac:dyDescent="0.3">
      <c r="B367" s="133">
        <v>1</v>
      </c>
      <c r="C367" s="237" t="s">
        <v>596</v>
      </c>
      <c r="D367" s="474"/>
      <c r="E367" s="238"/>
      <c r="F367" s="317"/>
      <c r="G367" s="498">
        <v>20</v>
      </c>
      <c r="H367" s="419"/>
      <c r="I367" s="317"/>
      <c r="J367" s="498">
        <v>16</v>
      </c>
      <c r="K367" s="419"/>
      <c r="L367" s="135"/>
      <c r="M367" s="135"/>
      <c r="N367" s="138"/>
      <c r="O367" s="135"/>
      <c r="P367" s="135"/>
      <c r="Q367" s="138"/>
      <c r="R367" s="135"/>
      <c r="S367" s="135"/>
      <c r="T367" s="138"/>
      <c r="U367" s="135"/>
      <c r="V367" s="135"/>
      <c r="W367" s="138"/>
      <c r="X367" s="420">
        <f t="shared" ref="X367:X372" si="66">G367+J367+M367+P367+S367+V367</f>
        <v>36</v>
      </c>
      <c r="Y367" s="140" t="str">
        <f t="shared" ref="Y367:Y372" si="67">IF(Z367&gt;=3,"Sí","No")</f>
        <v>No</v>
      </c>
      <c r="Z367" s="141">
        <f t="shared" ref="Z367:Z372" si="68">COUNTA(G367,J367,M367,P367,S367,V367)</f>
        <v>2</v>
      </c>
    </row>
    <row r="368" spans="2:26" ht="12.75" customHeight="1" x14ac:dyDescent="0.3">
      <c r="B368" s="133">
        <v>2</v>
      </c>
      <c r="C368" s="237" t="s">
        <v>608</v>
      </c>
      <c r="D368" s="474"/>
      <c r="E368" s="238"/>
      <c r="F368" s="317"/>
      <c r="G368" s="498">
        <v>14</v>
      </c>
      <c r="H368" s="419"/>
      <c r="I368" s="317"/>
      <c r="J368" s="498">
        <v>12</v>
      </c>
      <c r="K368" s="419"/>
      <c r="L368" s="135"/>
      <c r="M368" s="135"/>
      <c r="N368" s="138"/>
      <c r="O368" s="135"/>
      <c r="P368" s="135"/>
      <c r="Q368" s="138"/>
      <c r="R368" s="135"/>
      <c r="S368" s="135"/>
      <c r="T368" s="138"/>
      <c r="U368" s="135"/>
      <c r="V368" s="135"/>
      <c r="W368" s="138"/>
      <c r="X368" s="420">
        <f t="shared" si="66"/>
        <v>26</v>
      </c>
      <c r="Y368" s="140" t="str">
        <f t="shared" si="67"/>
        <v>No</v>
      </c>
      <c r="Z368" s="141">
        <f t="shared" si="68"/>
        <v>2</v>
      </c>
    </row>
    <row r="369" spans="2:26" ht="12.75" customHeight="1" x14ac:dyDescent="0.3">
      <c r="B369" s="133">
        <v>3</v>
      </c>
      <c r="C369" s="237" t="s">
        <v>672</v>
      </c>
      <c r="D369" s="474"/>
      <c r="E369" s="238"/>
      <c r="F369" s="135"/>
      <c r="G369" s="135"/>
      <c r="H369" s="138"/>
      <c r="I369" s="317"/>
      <c r="J369" s="498">
        <v>20</v>
      </c>
      <c r="K369" s="419"/>
      <c r="L369" s="135"/>
      <c r="M369" s="135"/>
      <c r="N369" s="138"/>
      <c r="O369" s="135"/>
      <c r="P369" s="135"/>
      <c r="Q369" s="138"/>
      <c r="R369" s="135"/>
      <c r="S369" s="135"/>
      <c r="T369" s="138"/>
      <c r="U369" s="135"/>
      <c r="V369" s="135"/>
      <c r="W369" s="138"/>
      <c r="X369" s="420">
        <f t="shared" si="66"/>
        <v>20</v>
      </c>
      <c r="Y369" s="140" t="str">
        <f t="shared" si="67"/>
        <v>No</v>
      </c>
      <c r="Z369" s="141">
        <f t="shared" si="68"/>
        <v>1</v>
      </c>
    </row>
    <row r="370" spans="2:26" ht="12.75" customHeight="1" x14ac:dyDescent="0.3">
      <c r="B370" s="133">
        <v>4</v>
      </c>
      <c r="C370" s="237" t="s">
        <v>212</v>
      </c>
      <c r="D370" s="474"/>
      <c r="E370" s="238"/>
      <c r="F370" s="317"/>
      <c r="G370" s="498">
        <v>16</v>
      </c>
      <c r="H370" s="419"/>
      <c r="I370" s="135"/>
      <c r="J370" s="135"/>
      <c r="K370" s="138"/>
      <c r="L370" s="135"/>
      <c r="M370" s="135"/>
      <c r="N370" s="138"/>
      <c r="O370" s="135"/>
      <c r="P370" s="135"/>
      <c r="Q370" s="138"/>
      <c r="R370" s="135"/>
      <c r="S370" s="135"/>
      <c r="T370" s="138"/>
      <c r="U370" s="135"/>
      <c r="V370" s="135"/>
      <c r="W370" s="138"/>
      <c r="X370" s="420">
        <f t="shared" si="66"/>
        <v>16</v>
      </c>
      <c r="Y370" s="140" t="str">
        <f t="shared" si="67"/>
        <v>No</v>
      </c>
      <c r="Z370" s="141">
        <f t="shared" si="68"/>
        <v>1</v>
      </c>
    </row>
    <row r="371" spans="2:26" ht="12.75" customHeight="1" x14ac:dyDescent="0.3">
      <c r="B371" s="133">
        <v>5</v>
      </c>
      <c r="C371" s="237" t="s">
        <v>673</v>
      </c>
      <c r="D371" s="474"/>
      <c r="E371" s="238"/>
      <c r="F371" s="135"/>
      <c r="G371" s="135"/>
      <c r="H371" s="138"/>
      <c r="I371" s="317"/>
      <c r="J371" s="498">
        <v>14</v>
      </c>
      <c r="K371" s="419"/>
      <c r="L371" s="135"/>
      <c r="M371" s="135"/>
      <c r="N371" s="138"/>
      <c r="O371" s="135"/>
      <c r="P371" s="135"/>
      <c r="Q371" s="138"/>
      <c r="R371" s="135"/>
      <c r="S371" s="135"/>
      <c r="T371" s="138"/>
      <c r="U371" s="135"/>
      <c r="V371" s="135"/>
      <c r="W371" s="138"/>
      <c r="X371" s="420">
        <f t="shared" si="66"/>
        <v>14</v>
      </c>
      <c r="Y371" s="140" t="str">
        <f t="shared" si="67"/>
        <v>No</v>
      </c>
      <c r="Z371" s="141">
        <f t="shared" si="68"/>
        <v>1</v>
      </c>
    </row>
    <row r="372" spans="2:26" ht="12.75" customHeight="1" x14ac:dyDescent="0.3">
      <c r="B372" s="133" t="s">
        <v>658</v>
      </c>
      <c r="C372" s="237" t="s">
        <v>633</v>
      </c>
      <c r="D372" s="474"/>
      <c r="E372" s="238"/>
      <c r="F372" s="317"/>
      <c r="G372" s="498">
        <v>0</v>
      </c>
      <c r="H372" s="419"/>
      <c r="I372" s="135"/>
      <c r="J372" s="135"/>
      <c r="K372" s="138"/>
      <c r="L372" s="135"/>
      <c r="M372" s="135"/>
      <c r="N372" s="138"/>
      <c r="O372" s="135"/>
      <c r="P372" s="135"/>
      <c r="Q372" s="138"/>
      <c r="R372" s="135"/>
      <c r="S372" s="135"/>
      <c r="T372" s="138"/>
      <c r="U372" s="135"/>
      <c r="V372" s="135"/>
      <c r="W372" s="138"/>
      <c r="X372" s="420">
        <f t="shared" si="66"/>
        <v>0</v>
      </c>
      <c r="Y372" s="140" t="str">
        <f t="shared" si="67"/>
        <v>No</v>
      </c>
      <c r="Z372" s="141">
        <f t="shared" si="68"/>
        <v>1</v>
      </c>
    </row>
    <row r="374" spans="2:26" x14ac:dyDescent="0.3">
      <c r="T374" s="4"/>
      <c r="U374" s="4"/>
      <c r="V374" s="4"/>
      <c r="W374" s="4"/>
      <c r="X374" s="4"/>
    </row>
    <row r="377" spans="2:26" ht="39" customHeight="1" x14ac:dyDescent="0.55000000000000004">
      <c r="B377" s="527" t="s">
        <v>555</v>
      </c>
      <c r="C377" s="527"/>
      <c r="D377" s="527"/>
      <c r="E377" s="527"/>
      <c r="F377" s="527"/>
      <c r="G377" s="527"/>
      <c r="H377" s="527"/>
      <c r="I377" s="527"/>
      <c r="J377" s="527"/>
      <c r="K377" s="527"/>
      <c r="L377" s="527"/>
      <c r="M377" s="527"/>
      <c r="N377" s="527"/>
      <c r="O377" s="527"/>
      <c r="P377" s="527"/>
      <c r="Q377" s="527"/>
      <c r="R377" s="527"/>
      <c r="S377" s="527"/>
      <c r="T377" s="527"/>
      <c r="U377" s="527"/>
      <c r="V377" s="527"/>
      <c r="W377" s="4"/>
      <c r="X377" s="4"/>
      <c r="Y377" s="130" t="s">
        <v>657</v>
      </c>
    </row>
    <row r="378" spans="2:26" ht="37.5" customHeight="1" x14ac:dyDescent="0.3">
      <c r="B378" s="523" t="s">
        <v>224</v>
      </c>
      <c r="C378" s="523"/>
      <c r="D378" s="523"/>
      <c r="E378" s="523"/>
      <c r="F378" s="523"/>
      <c r="G378" s="523"/>
      <c r="H378" s="523"/>
      <c r="I378" s="523"/>
      <c r="J378" s="523"/>
      <c r="K378" s="523"/>
      <c r="L378" s="523"/>
      <c r="M378" s="523"/>
      <c r="N378" s="523"/>
      <c r="O378" s="523"/>
      <c r="P378" s="523"/>
      <c r="Q378" s="523"/>
      <c r="R378" s="523"/>
      <c r="S378" s="523"/>
      <c r="T378" s="523"/>
      <c r="U378" s="523"/>
      <c r="V378" s="523"/>
      <c r="W378" s="4"/>
      <c r="X378" s="4"/>
      <c r="Y378" s="30"/>
      <c r="Z378" s="30"/>
    </row>
    <row r="379" spans="2:26" ht="12.75" customHeight="1" x14ac:dyDescent="0.3">
      <c r="B379" s="430"/>
      <c r="C379" s="416"/>
      <c r="D379" s="422"/>
      <c r="E379" s="224"/>
      <c r="F379" s="424"/>
      <c r="G379" s="422"/>
      <c r="H379" s="226"/>
      <c r="I379" s="426"/>
      <c r="J379" s="422"/>
      <c r="K379" s="226"/>
      <c r="L379" s="426"/>
      <c r="M379" s="422"/>
      <c r="N379" s="226"/>
      <c r="O379" s="426"/>
      <c r="P379" s="422"/>
      <c r="Q379" s="226"/>
      <c r="R379" s="426"/>
      <c r="S379" s="428" t="s">
        <v>213</v>
      </c>
      <c r="T379" s="422"/>
      <c r="U379" s="426"/>
      <c r="V379" s="428" t="s">
        <v>213</v>
      </c>
      <c r="W379" s="413"/>
      <c r="X379" s="431" t="s">
        <v>213</v>
      </c>
      <c r="Y379" s="30"/>
      <c r="Z379" s="30"/>
    </row>
    <row r="380" spans="2:26" ht="12.75" customHeight="1" x14ac:dyDescent="0.3">
      <c r="B380" s="159" t="s">
        <v>0</v>
      </c>
      <c r="C380" s="524" t="s">
        <v>1</v>
      </c>
      <c r="D380" s="525"/>
      <c r="E380" s="526"/>
      <c r="F380" s="421" t="s">
        <v>531</v>
      </c>
      <c r="G380" s="421"/>
      <c r="H380" s="260"/>
      <c r="I380" s="258" t="s">
        <v>524</v>
      </c>
      <c r="J380" s="421"/>
      <c r="K380" s="260"/>
      <c r="L380" s="258" t="s">
        <v>532</v>
      </c>
      <c r="M380" s="421"/>
      <c r="N380" s="260"/>
      <c r="O380" s="258" t="s">
        <v>526</v>
      </c>
      <c r="P380" s="421"/>
      <c r="Q380" s="260"/>
      <c r="R380" s="258" t="s">
        <v>287</v>
      </c>
      <c r="S380" s="421"/>
      <c r="T380" s="259"/>
      <c r="U380" s="258" t="s">
        <v>527</v>
      </c>
      <c r="V380" s="421"/>
      <c r="W380" s="260"/>
      <c r="X380" s="432" t="s">
        <v>9</v>
      </c>
      <c r="Y380" s="519" t="s">
        <v>223</v>
      </c>
      <c r="Z380" s="521" t="s">
        <v>4</v>
      </c>
    </row>
    <row r="381" spans="2:26" ht="12.75" customHeight="1" x14ac:dyDescent="0.3">
      <c r="B381" s="163"/>
      <c r="C381" s="417"/>
      <c r="D381" s="423"/>
      <c r="E381" s="219"/>
      <c r="F381" s="425"/>
      <c r="G381" s="423"/>
      <c r="H381" s="221"/>
      <c r="I381" s="427"/>
      <c r="J381" s="423"/>
      <c r="K381" s="221"/>
      <c r="L381" s="427"/>
      <c r="M381" s="423"/>
      <c r="N381" s="221"/>
      <c r="O381" s="427"/>
      <c r="P381" s="423"/>
      <c r="Q381" s="221"/>
      <c r="R381" s="427"/>
      <c r="S381" s="429"/>
      <c r="T381" s="423"/>
      <c r="U381" s="433"/>
      <c r="V381" s="434" t="s">
        <v>213</v>
      </c>
      <c r="W381" s="435"/>
      <c r="X381" s="256"/>
      <c r="Y381" s="520"/>
      <c r="Z381" s="522"/>
    </row>
    <row r="382" spans="2:26" ht="12.75" customHeight="1" x14ac:dyDescent="0.3">
      <c r="B382" s="133">
        <v>1</v>
      </c>
      <c r="C382" s="507" t="s">
        <v>283</v>
      </c>
      <c r="D382" s="496"/>
      <c r="E382" s="497"/>
      <c r="F382" s="317"/>
      <c r="G382" s="498">
        <v>20</v>
      </c>
      <c r="H382" s="419"/>
      <c r="I382" s="317"/>
      <c r="J382" s="498">
        <v>20</v>
      </c>
      <c r="K382" s="419"/>
      <c r="L382" s="135"/>
      <c r="M382" s="135"/>
      <c r="N382" s="138"/>
      <c r="O382" s="135"/>
      <c r="P382" s="135"/>
      <c r="Q382" s="138"/>
      <c r="R382" s="135"/>
      <c r="S382" s="135"/>
      <c r="T382" s="138"/>
      <c r="U382" s="135"/>
      <c r="V382" s="135"/>
      <c r="W382" s="138"/>
      <c r="X382" s="420">
        <f t="shared" ref="X382:X387" si="69">G382+J382+M382+P382+S382+V382</f>
        <v>40</v>
      </c>
      <c r="Y382" s="140" t="str">
        <f t="shared" ref="Y382:Y387" si="70">IF(Z382&gt;=3,"Sí","No")</f>
        <v>No</v>
      </c>
      <c r="Z382" s="141">
        <f t="shared" ref="Z382:Z387" si="71">COUNTA(G382,J382,M382,P382,S382,V382)</f>
        <v>2</v>
      </c>
    </row>
    <row r="383" spans="2:26" ht="12.75" customHeight="1" x14ac:dyDescent="0.3">
      <c r="B383" s="133">
        <v>2</v>
      </c>
      <c r="C383" s="507" t="s">
        <v>332</v>
      </c>
      <c r="D383" s="496"/>
      <c r="E383" s="497"/>
      <c r="F383" s="317"/>
      <c r="G383" s="498">
        <v>16</v>
      </c>
      <c r="H383" s="419"/>
      <c r="I383" s="317"/>
      <c r="J383" s="498">
        <v>16</v>
      </c>
      <c r="K383" s="419"/>
      <c r="L383" s="135"/>
      <c r="M383" s="135"/>
      <c r="N383" s="138"/>
      <c r="O383" s="135"/>
      <c r="P383" s="135"/>
      <c r="Q383" s="138"/>
      <c r="R383" s="135"/>
      <c r="S383" s="135"/>
      <c r="T383" s="138"/>
      <c r="U383" s="135"/>
      <c r="V383" s="135"/>
      <c r="W383" s="138"/>
      <c r="X383" s="420">
        <f t="shared" si="69"/>
        <v>32</v>
      </c>
      <c r="Y383" s="140" t="str">
        <f t="shared" si="70"/>
        <v>No</v>
      </c>
      <c r="Z383" s="141">
        <f t="shared" si="71"/>
        <v>2</v>
      </c>
    </row>
    <row r="384" spans="2:26" ht="12.75" customHeight="1" x14ac:dyDescent="0.3">
      <c r="B384" s="133">
        <v>3</v>
      </c>
      <c r="C384" s="507" t="s">
        <v>621</v>
      </c>
      <c r="D384" s="496"/>
      <c r="E384" s="497"/>
      <c r="F384" s="317"/>
      <c r="G384" s="498">
        <v>14</v>
      </c>
      <c r="H384" s="419"/>
      <c r="I384" s="317"/>
      <c r="J384" s="498">
        <v>12</v>
      </c>
      <c r="K384" s="419"/>
      <c r="L384" s="135"/>
      <c r="M384" s="135"/>
      <c r="N384" s="138"/>
      <c r="O384" s="135"/>
      <c r="P384" s="135"/>
      <c r="Q384" s="138"/>
      <c r="R384" s="135"/>
      <c r="S384" s="135"/>
      <c r="T384" s="138"/>
      <c r="U384" s="135"/>
      <c r="V384" s="135"/>
      <c r="W384" s="138"/>
      <c r="X384" s="420">
        <f t="shared" si="69"/>
        <v>26</v>
      </c>
      <c r="Y384" s="140" t="str">
        <f t="shared" si="70"/>
        <v>No</v>
      </c>
      <c r="Z384" s="141">
        <f t="shared" si="71"/>
        <v>2</v>
      </c>
    </row>
    <row r="385" spans="2:26" ht="12.75" customHeight="1" x14ac:dyDescent="0.3">
      <c r="B385" s="133">
        <v>3</v>
      </c>
      <c r="C385" s="507" t="s">
        <v>624</v>
      </c>
      <c r="D385" s="496"/>
      <c r="E385" s="497"/>
      <c r="F385" s="317"/>
      <c r="G385" s="498">
        <v>12</v>
      </c>
      <c r="H385" s="419"/>
      <c r="I385" s="317"/>
      <c r="J385" s="498">
        <v>14</v>
      </c>
      <c r="K385" s="419"/>
      <c r="L385" s="135"/>
      <c r="M385" s="135"/>
      <c r="N385" s="138"/>
      <c r="O385" s="135"/>
      <c r="P385" s="135"/>
      <c r="Q385" s="138"/>
      <c r="R385" s="135"/>
      <c r="S385" s="135"/>
      <c r="T385" s="138"/>
      <c r="U385" s="135"/>
      <c r="V385" s="135"/>
      <c r="W385" s="138"/>
      <c r="X385" s="420">
        <f t="shared" si="69"/>
        <v>26</v>
      </c>
      <c r="Y385" s="140" t="str">
        <f t="shared" si="70"/>
        <v>No</v>
      </c>
      <c r="Z385" s="141">
        <f t="shared" si="71"/>
        <v>2</v>
      </c>
    </row>
    <row r="386" spans="2:26" ht="12.75" customHeight="1" x14ac:dyDescent="0.3">
      <c r="B386" s="133">
        <v>5</v>
      </c>
      <c r="C386" s="507" t="s">
        <v>676</v>
      </c>
      <c r="D386" s="496"/>
      <c r="E386" s="497"/>
      <c r="F386" s="135"/>
      <c r="G386" s="135"/>
      <c r="H386" s="138"/>
      <c r="I386" s="317"/>
      <c r="J386" s="498">
        <v>10</v>
      </c>
      <c r="K386" s="419"/>
      <c r="L386" s="135"/>
      <c r="M386" s="135"/>
      <c r="N386" s="138"/>
      <c r="O386" s="135"/>
      <c r="P386" s="135"/>
      <c r="Q386" s="138"/>
      <c r="R386" s="135"/>
      <c r="S386" s="135"/>
      <c r="T386" s="138"/>
      <c r="U386" s="135"/>
      <c r="V386" s="135"/>
      <c r="W386" s="138"/>
      <c r="X386" s="420">
        <f t="shared" si="69"/>
        <v>10</v>
      </c>
      <c r="Y386" s="140" t="str">
        <f t="shared" si="70"/>
        <v>No</v>
      </c>
      <c r="Z386" s="141">
        <f t="shared" si="71"/>
        <v>1</v>
      </c>
    </row>
    <row r="387" spans="2:26" ht="12.75" customHeight="1" x14ac:dyDescent="0.3">
      <c r="B387" s="133" t="s">
        <v>658</v>
      </c>
      <c r="C387" s="507" t="s">
        <v>637</v>
      </c>
      <c r="D387" s="496"/>
      <c r="E387" s="497"/>
      <c r="F387" s="317"/>
      <c r="G387" s="498">
        <v>0</v>
      </c>
      <c r="H387" s="419"/>
      <c r="I387" s="135"/>
      <c r="J387" s="135"/>
      <c r="K387" s="138"/>
      <c r="L387" s="135"/>
      <c r="M387" s="135"/>
      <c r="N387" s="138"/>
      <c r="O387" s="135"/>
      <c r="P387" s="135"/>
      <c r="Q387" s="138"/>
      <c r="R387" s="135"/>
      <c r="S387" s="135"/>
      <c r="T387" s="138"/>
      <c r="U387" s="135"/>
      <c r="V387" s="135"/>
      <c r="W387" s="138"/>
      <c r="X387" s="420">
        <f t="shared" si="69"/>
        <v>0</v>
      </c>
      <c r="Y387" s="140" t="str">
        <f t="shared" si="70"/>
        <v>No</v>
      </c>
      <c r="Z387" s="141">
        <f t="shared" si="71"/>
        <v>1</v>
      </c>
    </row>
    <row r="388" spans="2:26" ht="12.75" customHeight="1" x14ac:dyDescent="0.3">
      <c r="B388" s="152"/>
      <c r="C388" s="155"/>
      <c r="D388" s="155"/>
      <c r="E388" s="155"/>
      <c r="F388" s="155"/>
      <c r="G388" s="154"/>
      <c r="H388" s="155"/>
      <c r="I388" s="155"/>
      <c r="J388" s="154"/>
      <c r="K388" s="155"/>
      <c r="L388" s="155"/>
      <c r="M388" s="154"/>
      <c r="N388" s="155"/>
      <c r="O388" s="155"/>
      <c r="P388" s="154"/>
      <c r="Q388" s="155"/>
      <c r="R388" s="155"/>
      <c r="S388" s="154"/>
      <c r="T388" s="155"/>
      <c r="U388" s="155"/>
      <c r="V388" s="154"/>
      <c r="W388" s="155"/>
      <c r="X388" s="155"/>
      <c r="Y388" s="240"/>
      <c r="Z388" s="127"/>
    </row>
    <row r="389" spans="2:26" ht="39" customHeight="1" x14ac:dyDescent="0.55000000000000004">
      <c r="B389" s="527" t="s">
        <v>555</v>
      </c>
      <c r="C389" s="527"/>
      <c r="D389" s="527"/>
      <c r="E389" s="527"/>
      <c r="F389" s="527"/>
      <c r="G389" s="527"/>
      <c r="H389" s="527"/>
      <c r="I389" s="527"/>
      <c r="J389" s="527"/>
      <c r="K389" s="527"/>
      <c r="L389" s="527"/>
      <c r="M389" s="527"/>
      <c r="N389" s="527"/>
      <c r="O389" s="527"/>
      <c r="P389" s="527"/>
      <c r="Q389" s="527"/>
      <c r="R389" s="527"/>
      <c r="S389" s="527"/>
      <c r="T389" s="527"/>
      <c r="U389" s="527"/>
      <c r="V389" s="527"/>
      <c r="W389" s="4"/>
      <c r="X389" s="4"/>
    </row>
    <row r="390" spans="2:26" ht="37.5" customHeight="1" x14ac:dyDescent="0.3">
      <c r="B390" s="523" t="s">
        <v>338</v>
      </c>
      <c r="C390" s="523"/>
      <c r="D390" s="523"/>
      <c r="E390" s="523"/>
      <c r="F390" s="523"/>
      <c r="G390" s="523"/>
      <c r="H390" s="523"/>
      <c r="I390" s="523"/>
      <c r="J390" s="523"/>
      <c r="K390" s="523"/>
      <c r="L390" s="523"/>
      <c r="M390" s="523"/>
      <c r="N390" s="523"/>
      <c r="O390" s="523"/>
      <c r="P390" s="523"/>
      <c r="Q390" s="523"/>
      <c r="R390" s="523"/>
      <c r="S390" s="523"/>
      <c r="T390" s="523"/>
      <c r="U390" s="523"/>
      <c r="V390" s="523"/>
      <c r="W390" s="4"/>
      <c r="X390" s="4"/>
      <c r="Y390" s="30"/>
      <c r="Z390" s="30"/>
    </row>
    <row r="391" spans="2:26" ht="12.75" customHeight="1" x14ac:dyDescent="0.3">
      <c r="B391" s="430"/>
      <c r="C391" s="416"/>
      <c r="D391" s="422"/>
      <c r="E391" s="224"/>
      <c r="F391" s="424"/>
      <c r="G391" s="422"/>
      <c r="H391" s="226"/>
      <c r="I391" s="426"/>
      <c r="J391" s="422"/>
      <c r="K391" s="226"/>
      <c r="L391" s="426"/>
      <c r="M391" s="422"/>
      <c r="N391" s="226"/>
      <c r="O391" s="426"/>
      <c r="P391" s="422"/>
      <c r="Q391" s="226"/>
      <c r="R391" s="426"/>
      <c r="S391" s="428" t="s">
        <v>213</v>
      </c>
      <c r="T391" s="422"/>
      <c r="U391" s="426"/>
      <c r="V391" s="428" t="s">
        <v>213</v>
      </c>
      <c r="W391" s="413"/>
      <c r="X391" s="431" t="s">
        <v>213</v>
      </c>
      <c r="Y391" s="30"/>
      <c r="Z391" s="30"/>
    </row>
    <row r="392" spans="2:26" ht="12.75" customHeight="1" x14ac:dyDescent="0.3">
      <c r="B392" s="159" t="s">
        <v>0</v>
      </c>
      <c r="C392" s="524" t="s">
        <v>166</v>
      </c>
      <c r="D392" s="525"/>
      <c r="E392" s="526"/>
      <c r="F392" s="421" t="s">
        <v>531</v>
      </c>
      <c r="G392" s="421"/>
      <c r="H392" s="260"/>
      <c r="I392" s="258" t="s">
        <v>524</v>
      </c>
      <c r="J392" s="421"/>
      <c r="K392" s="260"/>
      <c r="L392" s="258" t="s">
        <v>532</v>
      </c>
      <c r="M392" s="421"/>
      <c r="N392" s="260"/>
      <c r="O392" s="258" t="s">
        <v>526</v>
      </c>
      <c r="P392" s="421"/>
      <c r="Q392" s="260"/>
      <c r="R392" s="258" t="s">
        <v>287</v>
      </c>
      <c r="S392" s="421"/>
      <c r="T392" s="259"/>
      <c r="U392" s="258" t="s">
        <v>527</v>
      </c>
      <c r="V392" s="421"/>
      <c r="W392" s="260"/>
      <c r="X392" s="432" t="s">
        <v>9</v>
      </c>
      <c r="Y392" s="519" t="s">
        <v>223</v>
      </c>
      <c r="Z392" s="521" t="s">
        <v>4</v>
      </c>
    </row>
    <row r="393" spans="2:26" ht="12.75" customHeight="1" x14ac:dyDescent="0.3">
      <c r="B393" s="163"/>
      <c r="C393" s="417"/>
      <c r="D393" s="423"/>
      <c r="E393" s="219"/>
      <c r="F393" s="425"/>
      <c r="G393" s="423"/>
      <c r="H393" s="221"/>
      <c r="I393" s="427"/>
      <c r="J393" s="423"/>
      <c r="K393" s="221"/>
      <c r="L393" s="427"/>
      <c r="M393" s="423"/>
      <c r="N393" s="221"/>
      <c r="O393" s="427"/>
      <c r="P393" s="423"/>
      <c r="Q393" s="221"/>
      <c r="R393" s="427"/>
      <c r="S393" s="429"/>
      <c r="T393" s="423"/>
      <c r="U393" s="433"/>
      <c r="V393" s="434" t="s">
        <v>213</v>
      </c>
      <c r="W393" s="435"/>
      <c r="X393" s="256"/>
      <c r="Y393" s="520"/>
      <c r="Z393" s="522"/>
    </row>
    <row r="394" spans="2:26" ht="12.75" customHeight="1" x14ac:dyDescent="0.3">
      <c r="B394" s="133">
        <v>1</v>
      </c>
      <c r="C394" s="507" t="s">
        <v>456</v>
      </c>
      <c r="D394" s="496"/>
      <c r="E394" s="497"/>
      <c r="F394" s="317"/>
      <c r="G394" s="498">
        <v>16</v>
      </c>
      <c r="H394" s="419"/>
      <c r="I394" s="317"/>
      <c r="J394" s="498">
        <v>16</v>
      </c>
      <c r="K394" s="419"/>
      <c r="L394" s="135"/>
      <c r="M394" s="135"/>
      <c r="N394" s="138"/>
      <c r="O394" s="135"/>
      <c r="P394" s="135"/>
      <c r="Q394" s="138"/>
      <c r="R394" s="135"/>
      <c r="S394" s="135"/>
      <c r="T394" s="138"/>
      <c r="U394" s="135"/>
      <c r="V394" s="135"/>
      <c r="W394" s="138"/>
      <c r="X394" s="420">
        <f t="shared" ref="X394:X400" si="72">G394+J394+M394+P394+S394+V394</f>
        <v>32</v>
      </c>
      <c r="Y394" s="140" t="str">
        <f>IF(Z394&gt;=3,"Sí","No")</f>
        <v>No</v>
      </c>
      <c r="Z394" s="141">
        <f>COUNTA(G394,J394,M394,P394,S394,V394)</f>
        <v>2</v>
      </c>
    </row>
    <row r="395" spans="2:26" ht="12.75" customHeight="1" x14ac:dyDescent="0.3">
      <c r="B395" s="133">
        <v>2</v>
      </c>
      <c r="C395" s="507" t="s">
        <v>622</v>
      </c>
      <c r="D395" s="496"/>
      <c r="E395" s="497"/>
      <c r="F395" s="317"/>
      <c r="G395" s="498">
        <v>14</v>
      </c>
      <c r="H395" s="419"/>
      <c r="I395" s="317"/>
      <c r="J395" s="498">
        <v>12</v>
      </c>
      <c r="K395" s="419"/>
      <c r="L395" s="135"/>
      <c r="M395" s="135"/>
      <c r="N395" s="138"/>
      <c r="O395" s="135"/>
      <c r="P395" s="135"/>
      <c r="Q395" s="138"/>
      <c r="R395" s="135"/>
      <c r="S395" s="135"/>
      <c r="T395" s="138"/>
      <c r="U395" s="135"/>
      <c r="V395" s="135"/>
      <c r="W395" s="138"/>
      <c r="X395" s="420">
        <f t="shared" si="72"/>
        <v>26</v>
      </c>
      <c r="Y395" s="140" t="str">
        <f>IF(Z395&gt;=3,"Sí","No")</f>
        <v>No</v>
      </c>
      <c r="Z395" s="141">
        <f>COUNTA(G395,J395,M395,P395,S395,V395)</f>
        <v>2</v>
      </c>
    </row>
    <row r="396" spans="2:26" ht="12.75" customHeight="1" x14ac:dyDescent="0.3">
      <c r="B396" s="133">
        <v>2</v>
      </c>
      <c r="C396" s="507" t="s">
        <v>625</v>
      </c>
      <c r="D396" s="496"/>
      <c r="E396" s="497"/>
      <c r="F396" s="317"/>
      <c r="G396" s="498">
        <v>12</v>
      </c>
      <c r="H396" s="419"/>
      <c r="I396" s="317"/>
      <c r="J396" s="498">
        <v>14</v>
      </c>
      <c r="K396" s="419"/>
      <c r="L396" s="135"/>
      <c r="M396" s="135"/>
      <c r="N396" s="138"/>
      <c r="O396" s="135"/>
      <c r="P396" s="135"/>
      <c r="Q396" s="138"/>
      <c r="R396" s="135"/>
      <c r="S396" s="135"/>
      <c r="T396" s="138"/>
      <c r="U396" s="135"/>
      <c r="V396" s="135"/>
      <c r="W396" s="138"/>
      <c r="X396" s="420">
        <f t="shared" si="72"/>
        <v>26</v>
      </c>
      <c r="Y396" s="140" t="str">
        <f>IF(Z396&gt;=3,"Sí","No")</f>
        <v>No</v>
      </c>
      <c r="Z396" s="141">
        <f>COUNTA(G396,J396,M396,P396,S396,V396)</f>
        <v>2</v>
      </c>
    </row>
    <row r="397" spans="2:26" ht="12.75" customHeight="1" x14ac:dyDescent="0.3">
      <c r="B397" s="133">
        <v>4</v>
      </c>
      <c r="C397" s="507" t="s">
        <v>599</v>
      </c>
      <c r="D397" s="496"/>
      <c r="E397" s="497"/>
      <c r="F397" s="317"/>
      <c r="G397" s="498">
        <v>20</v>
      </c>
      <c r="H397" s="419"/>
      <c r="I397" s="135"/>
      <c r="J397" s="135"/>
      <c r="K397" s="138"/>
      <c r="L397" s="135"/>
      <c r="M397" s="135"/>
      <c r="N397" s="138"/>
      <c r="O397" s="135"/>
      <c r="P397" s="135"/>
      <c r="Q397" s="138"/>
      <c r="R397" s="135"/>
      <c r="S397" s="135"/>
      <c r="T397" s="138"/>
      <c r="U397" s="135"/>
      <c r="V397" s="135"/>
      <c r="W397" s="138"/>
      <c r="X397" s="420">
        <f t="shared" si="72"/>
        <v>20</v>
      </c>
      <c r="Y397" s="140" t="str">
        <f>IF(Z397&gt;=3,"Sí","No")</f>
        <v>No</v>
      </c>
      <c r="Z397" s="141">
        <f>COUNTA(G397,J397,M397,P397,S397,V397)</f>
        <v>1</v>
      </c>
    </row>
    <row r="398" spans="2:26" ht="12.75" customHeight="1" x14ac:dyDescent="0.3">
      <c r="B398" s="133">
        <v>4</v>
      </c>
      <c r="C398" s="507" t="s">
        <v>670</v>
      </c>
      <c r="D398" s="496"/>
      <c r="E398" s="497"/>
      <c r="F398" s="135"/>
      <c r="G398" s="135"/>
      <c r="H398" s="138"/>
      <c r="I398" s="317"/>
      <c r="J398" s="498">
        <v>20</v>
      </c>
      <c r="K398" s="419"/>
      <c r="L398" s="135"/>
      <c r="M398" s="135"/>
      <c r="N398" s="138"/>
      <c r="O398" s="135"/>
      <c r="P398" s="135"/>
      <c r="Q398" s="138"/>
      <c r="R398" s="135"/>
      <c r="S398" s="135"/>
      <c r="T398" s="138"/>
      <c r="U398" s="135"/>
      <c r="V398" s="135"/>
      <c r="W398" s="138"/>
      <c r="X398" s="420">
        <f t="shared" si="72"/>
        <v>20</v>
      </c>
      <c r="Y398" s="140" t="str">
        <f>IF(Z398&gt;=3,"Sí","No")</f>
        <v>No</v>
      </c>
      <c r="Z398" s="141">
        <f>COUNTA(G398,J398,M398,P398,S398,V398)</f>
        <v>1</v>
      </c>
    </row>
    <row r="399" spans="2:26" ht="12.75" customHeight="1" x14ac:dyDescent="0.3">
      <c r="B399" s="133">
        <v>6</v>
      </c>
      <c r="C399" s="507" t="s">
        <v>677</v>
      </c>
      <c r="D399" s="496"/>
      <c r="E399" s="497"/>
      <c r="F399" s="135"/>
      <c r="G399" s="135"/>
      <c r="H399" s="138"/>
      <c r="I399" s="317"/>
      <c r="J399" s="498">
        <v>10</v>
      </c>
      <c r="K399" s="419"/>
      <c r="L399" s="135"/>
      <c r="M399" s="135"/>
      <c r="N399" s="138"/>
      <c r="O399" s="135"/>
      <c r="P399" s="135"/>
      <c r="Q399" s="138"/>
      <c r="R399" s="135"/>
      <c r="S399" s="135"/>
      <c r="T399" s="138"/>
      <c r="U399" s="135"/>
      <c r="V399" s="135"/>
      <c r="W399" s="138"/>
      <c r="X399" s="420">
        <f t="shared" si="72"/>
        <v>10</v>
      </c>
      <c r="Y399" s="240"/>
      <c r="Z399" s="127"/>
    </row>
    <row r="400" spans="2:26" ht="12.75" customHeight="1" x14ac:dyDescent="0.3">
      <c r="B400" s="133" t="s">
        <v>658</v>
      </c>
      <c r="C400" s="507" t="s">
        <v>638</v>
      </c>
      <c r="D400" s="496"/>
      <c r="E400" s="497"/>
      <c r="F400" s="317"/>
      <c r="G400" s="498">
        <v>0</v>
      </c>
      <c r="H400" s="419"/>
      <c r="I400" s="135"/>
      <c r="J400" s="135"/>
      <c r="K400" s="138"/>
      <c r="L400" s="135"/>
      <c r="M400" s="135"/>
      <c r="N400" s="138"/>
      <c r="O400" s="135"/>
      <c r="P400" s="135"/>
      <c r="Q400" s="138"/>
      <c r="R400" s="135"/>
      <c r="S400" s="135"/>
      <c r="T400" s="138"/>
      <c r="U400" s="135"/>
      <c r="V400" s="135"/>
      <c r="W400" s="138"/>
      <c r="X400" s="420">
        <f t="shared" si="72"/>
        <v>0</v>
      </c>
      <c r="Y400" s="240"/>
      <c r="Z400" s="127"/>
    </row>
    <row r="404" spans="7:24" x14ac:dyDescent="0.3">
      <c r="G404" s="556" t="s">
        <v>694</v>
      </c>
      <c r="H404" s="556"/>
      <c r="I404" s="556"/>
      <c r="J404" s="556"/>
      <c r="K404" s="556"/>
      <c r="L404" s="556"/>
      <c r="M404" s="556"/>
      <c r="N404" s="556"/>
    </row>
    <row r="405" spans="7:24" x14ac:dyDescent="0.3">
      <c r="T405" s="4"/>
      <c r="U405" s="4"/>
      <c r="V405" s="4"/>
      <c r="W405" s="4"/>
      <c r="X405" s="4"/>
    </row>
    <row r="408" spans="7:24" x14ac:dyDescent="0.3">
      <c r="T408" s="4"/>
      <c r="U408" s="4"/>
      <c r="V408" s="4"/>
      <c r="W408" s="4"/>
      <c r="X408" s="4"/>
    </row>
    <row r="411" spans="7:24" x14ac:dyDescent="0.3">
      <c r="T411" s="4"/>
      <c r="U411" s="4"/>
      <c r="V411" s="4"/>
      <c r="W411" s="4"/>
      <c r="X411" s="4"/>
    </row>
    <row r="416" spans="7:24" x14ac:dyDescent="0.3">
      <c r="T416" s="4"/>
      <c r="U416" s="4"/>
      <c r="V416" s="4"/>
      <c r="W416" s="4"/>
      <c r="X416" s="4"/>
    </row>
    <row r="419" spans="20:24" x14ac:dyDescent="0.3">
      <c r="T419" s="4"/>
      <c r="U419" s="4"/>
      <c r="V419" s="4"/>
      <c r="W419" s="4"/>
      <c r="X419" s="4"/>
    </row>
    <row r="422" spans="20:24" x14ac:dyDescent="0.3">
      <c r="T422" s="4"/>
      <c r="U422" s="4"/>
      <c r="V422" s="4"/>
      <c r="W422" s="4"/>
      <c r="X422" s="4"/>
    </row>
  </sheetData>
  <sortState xmlns:xlrd2="http://schemas.microsoft.com/office/spreadsheetml/2017/richdata2" ref="B143:X173">
    <sortCondition descending="1" ref="X143:X173"/>
  </sortState>
  <mergeCells count="71">
    <mergeCell ref="B187:W187"/>
    <mergeCell ref="Y4:Y5"/>
    <mergeCell ref="Z4:Z5"/>
    <mergeCell ref="Y50:Y51"/>
    <mergeCell ref="Z50:Z51"/>
    <mergeCell ref="Y100:Y101"/>
    <mergeCell ref="Z100:Z101"/>
    <mergeCell ref="AJ120:AL120"/>
    <mergeCell ref="Y141:Y142"/>
    <mergeCell ref="Z141:Z142"/>
    <mergeCell ref="AJ162:AL162"/>
    <mergeCell ref="B186:W186"/>
    <mergeCell ref="B198:W198"/>
    <mergeCell ref="B199:W199"/>
    <mergeCell ref="Y215:Y216"/>
    <mergeCell ref="Z215:Z216"/>
    <mergeCell ref="Y227:Y228"/>
    <mergeCell ref="Z227:Z228"/>
    <mergeCell ref="B298:V298"/>
    <mergeCell ref="Y240:Y241"/>
    <mergeCell ref="Z240:Z241"/>
    <mergeCell ref="Y255:Y256"/>
    <mergeCell ref="Z255:Z256"/>
    <mergeCell ref="Y269:Y270"/>
    <mergeCell ref="Z269:Z270"/>
    <mergeCell ref="Y279:Y280"/>
    <mergeCell ref="Z279:Z280"/>
    <mergeCell ref="Y289:Y290"/>
    <mergeCell ref="Z289:Z290"/>
    <mergeCell ref="B297:V297"/>
    <mergeCell ref="C300:E300"/>
    <mergeCell ref="Y300:Y301"/>
    <mergeCell ref="Z300:Z301"/>
    <mergeCell ref="C302:E302"/>
    <mergeCell ref="B306:V306"/>
    <mergeCell ref="B307:V307"/>
    <mergeCell ref="C309:E309"/>
    <mergeCell ref="Y309:Y310"/>
    <mergeCell ref="Z309:Z310"/>
    <mergeCell ref="C311:E311"/>
    <mergeCell ref="B314:V314"/>
    <mergeCell ref="B315:V315"/>
    <mergeCell ref="C317:E317"/>
    <mergeCell ref="Y317:Y318"/>
    <mergeCell ref="Z317:Z318"/>
    <mergeCell ref="Y334:Y335"/>
    <mergeCell ref="Z334:Z335"/>
    <mergeCell ref="B331:V331"/>
    <mergeCell ref="B332:V332"/>
    <mergeCell ref="C334:E334"/>
    <mergeCell ref="B350:V350"/>
    <mergeCell ref="B351:V351"/>
    <mergeCell ref="C353:E353"/>
    <mergeCell ref="Y353:Y354"/>
    <mergeCell ref="Z353:Z354"/>
    <mergeCell ref="B378:V378"/>
    <mergeCell ref="C380:E380"/>
    <mergeCell ref="Y380:Y381"/>
    <mergeCell ref="Z380:Z381"/>
    <mergeCell ref="B362:V362"/>
    <mergeCell ref="B363:V363"/>
    <mergeCell ref="C365:E365"/>
    <mergeCell ref="Y365:Y366"/>
    <mergeCell ref="Z365:Z366"/>
    <mergeCell ref="B377:V377"/>
    <mergeCell ref="G404:N404"/>
    <mergeCell ref="C392:E392"/>
    <mergeCell ref="Y392:Y393"/>
    <mergeCell ref="Z392:Z393"/>
    <mergeCell ref="B389:V389"/>
    <mergeCell ref="B390:V390"/>
  </mergeCells>
  <conditionalFormatting sqref="D89">
    <cfRule type="containsBlanks" dxfId="102" priority="89">
      <formula>LEN(TRIM(D89))=0</formula>
    </cfRule>
  </conditionalFormatting>
  <conditionalFormatting sqref="D175">
    <cfRule type="containsBlanks" dxfId="101" priority="76">
      <formula>LEN(TRIM(D175))=0</formula>
    </cfRule>
  </conditionalFormatting>
  <conditionalFormatting sqref="D6:X41">
    <cfRule type="containsBlanks" dxfId="100" priority="42">
      <formula>LEN(TRIM(D6))=0</formula>
    </cfRule>
  </conditionalFormatting>
  <conditionalFormatting sqref="D52:X87">
    <cfRule type="containsBlanks" dxfId="99" priority="40">
      <formula>LEN(TRIM(D52))=0</formula>
    </cfRule>
  </conditionalFormatting>
  <conditionalFormatting sqref="D102:X131">
    <cfRule type="containsBlanks" dxfId="98" priority="39">
      <formula>LEN(TRIM(D102))=0</formula>
    </cfRule>
  </conditionalFormatting>
  <conditionalFormatting sqref="D143:X173">
    <cfRule type="containsBlanks" dxfId="97" priority="1">
      <formula>LEN(TRIM(D143))=0</formula>
    </cfRule>
  </conditionalFormatting>
  <conditionalFormatting sqref="D191:X194">
    <cfRule type="containsBlanks" dxfId="96" priority="60">
      <formula>LEN(TRIM(D191))=0</formula>
    </cfRule>
  </conditionalFormatting>
  <conditionalFormatting sqref="D203:X206">
    <cfRule type="containsBlanks" dxfId="95" priority="59">
      <formula>LEN(TRIM(D203))=0</formula>
    </cfRule>
  </conditionalFormatting>
  <conditionalFormatting sqref="D217:X220">
    <cfRule type="containsBlanks" dxfId="94" priority="64">
      <formula>LEN(TRIM(D217))=0</formula>
    </cfRule>
  </conditionalFormatting>
  <conditionalFormatting sqref="D229:X232">
    <cfRule type="containsBlanks" dxfId="93" priority="33">
      <formula>LEN(TRIM(D229))=0</formula>
    </cfRule>
  </conditionalFormatting>
  <conditionalFormatting sqref="D242:X247">
    <cfRule type="containsBlanks" dxfId="92" priority="84">
      <formula>LEN(TRIM(D242))=0</formula>
    </cfRule>
  </conditionalFormatting>
  <conditionalFormatting sqref="D257:X262">
    <cfRule type="containsBlanks" dxfId="91" priority="78">
      <formula>LEN(TRIM(D257))=0</formula>
    </cfRule>
  </conditionalFormatting>
  <conditionalFormatting sqref="D271:X272">
    <cfRule type="containsBlanks" dxfId="90" priority="82">
      <formula>LEN(TRIM(D271))=0</formula>
    </cfRule>
  </conditionalFormatting>
  <conditionalFormatting sqref="D281:X282">
    <cfRule type="containsBlanks" dxfId="89" priority="81">
      <formula>LEN(TRIM(D281))=0</formula>
    </cfRule>
  </conditionalFormatting>
  <conditionalFormatting sqref="D291:X292">
    <cfRule type="containsBlanks" dxfId="88" priority="31">
      <formula>LEN(TRIM(D291))=0</formula>
    </cfRule>
  </conditionalFormatting>
  <conditionalFormatting sqref="F323:H324">
    <cfRule type="containsBlanks" dxfId="87" priority="25">
      <formula>LEN(TRIM(F323))=0</formula>
    </cfRule>
  </conditionalFormatting>
  <conditionalFormatting sqref="F327:H327">
    <cfRule type="containsBlanks" dxfId="86" priority="27">
      <formula>LEN(TRIM(F327))=0</formula>
    </cfRule>
  </conditionalFormatting>
  <conditionalFormatting sqref="F358:H358">
    <cfRule type="containsBlanks" dxfId="85" priority="14">
      <formula>LEN(TRIM(F358))=0</formula>
    </cfRule>
  </conditionalFormatting>
  <conditionalFormatting sqref="F369:H369">
    <cfRule type="containsBlanks" dxfId="84" priority="12">
      <formula>LEN(TRIM(F369))=0</formula>
    </cfRule>
  </conditionalFormatting>
  <conditionalFormatting sqref="F371:H371">
    <cfRule type="containsBlanks" dxfId="83" priority="11">
      <formula>LEN(TRIM(F371))=0</formula>
    </cfRule>
  </conditionalFormatting>
  <conditionalFormatting sqref="F386:H386">
    <cfRule type="containsBlanks" dxfId="82" priority="8">
      <formula>LEN(TRIM(F386))=0</formula>
    </cfRule>
  </conditionalFormatting>
  <conditionalFormatting sqref="F398:H399">
    <cfRule type="containsBlanks" dxfId="81" priority="2">
      <formula>LEN(TRIM(F398))=0</formula>
    </cfRule>
  </conditionalFormatting>
  <conditionalFormatting sqref="G319:G322">
    <cfRule type="containsBlanks" dxfId="80" priority="74">
      <formula>LEN(TRIM(G319))=0</formula>
    </cfRule>
  </conditionalFormatting>
  <conditionalFormatting sqref="G325:G326">
    <cfRule type="containsBlanks" dxfId="79" priority="28">
      <formula>LEN(TRIM(G325))=0</formula>
    </cfRule>
  </conditionalFormatting>
  <conditionalFormatting sqref="G336:G345 J336:J345">
    <cfRule type="containsBlanks" dxfId="78" priority="87">
      <formula>LEN(TRIM(G336))=0</formula>
    </cfRule>
  </conditionalFormatting>
  <conditionalFormatting sqref="I326:K326">
    <cfRule type="containsBlanks" dxfId="77" priority="24">
      <formula>LEN(TRIM(I326))=0</formula>
    </cfRule>
  </conditionalFormatting>
  <conditionalFormatting sqref="I359:K359">
    <cfRule type="containsBlanks" dxfId="76" priority="13">
      <formula>LEN(TRIM(I359))=0</formula>
    </cfRule>
  </conditionalFormatting>
  <conditionalFormatting sqref="I370:K370">
    <cfRule type="containsBlanks" dxfId="75" priority="10">
      <formula>LEN(TRIM(I370))=0</formula>
    </cfRule>
  </conditionalFormatting>
  <conditionalFormatting sqref="I387:K387">
    <cfRule type="containsBlanks" dxfId="74" priority="7">
      <formula>LEN(TRIM(I387))=0</formula>
    </cfRule>
  </conditionalFormatting>
  <conditionalFormatting sqref="I397:K397">
    <cfRule type="containsBlanks" dxfId="73" priority="5">
      <formula>LEN(TRIM(I397))=0</formula>
    </cfRule>
  </conditionalFormatting>
  <conditionalFormatting sqref="I400:K400">
    <cfRule type="containsBlanks" dxfId="72" priority="4">
      <formula>LEN(TRIM(I400))=0</formula>
    </cfRule>
  </conditionalFormatting>
  <conditionalFormatting sqref="I372:W372">
    <cfRule type="containsBlanks" dxfId="71" priority="15">
      <formula>LEN(TRIM(I372))=0</formula>
    </cfRule>
  </conditionalFormatting>
  <conditionalFormatting sqref="J319:J325">
    <cfRule type="containsBlanks" dxfId="70" priority="26">
      <formula>LEN(TRIM(J319))=0</formula>
    </cfRule>
  </conditionalFormatting>
  <conditionalFormatting sqref="J327">
    <cfRule type="containsBlanks" dxfId="69" priority="73">
      <formula>LEN(TRIM(J327))=0</formula>
    </cfRule>
  </conditionalFormatting>
  <conditionalFormatting sqref="L336:W345">
    <cfRule type="containsBlanks" dxfId="68" priority="22">
      <formula>LEN(TRIM(L336))=0</formula>
    </cfRule>
  </conditionalFormatting>
  <conditionalFormatting sqref="L367:W371">
    <cfRule type="containsBlanks" dxfId="67" priority="16">
      <formula>LEN(TRIM(L367))=0</formula>
    </cfRule>
  </conditionalFormatting>
  <conditionalFormatting sqref="L319:X327">
    <cfRule type="containsBlanks" dxfId="66" priority="30">
      <formula>LEN(TRIM(L319))=0</formula>
    </cfRule>
  </conditionalFormatting>
  <conditionalFormatting sqref="L355:X359">
    <cfRule type="containsBlanks" dxfId="65" priority="19">
      <formula>LEN(TRIM(L355))=0</formula>
    </cfRule>
  </conditionalFormatting>
  <conditionalFormatting sqref="L382:X387">
    <cfRule type="containsBlanks" dxfId="64" priority="9">
      <formula>LEN(TRIM(L382))=0</formula>
    </cfRule>
  </conditionalFormatting>
  <conditionalFormatting sqref="L394:X400">
    <cfRule type="containsBlanks" dxfId="63" priority="6">
      <formula>LEN(TRIM(L394))=0</formula>
    </cfRule>
  </conditionalFormatting>
  <conditionalFormatting sqref="X302">
    <cfRule type="containsBlanks" dxfId="62" priority="77">
      <formula>LEN(TRIM(X302))=0</formula>
    </cfRule>
  </conditionalFormatting>
  <conditionalFormatting sqref="X311">
    <cfRule type="containsBlanks" dxfId="61" priority="55">
      <formula>LEN(TRIM(X311))=0</formula>
    </cfRule>
  </conditionalFormatting>
  <conditionalFormatting sqref="X367:X372">
    <cfRule type="containsBlanks" dxfId="60" priority="56">
      <formula>LEN(TRIM(X367))=0</formula>
    </cfRule>
  </conditionalFormatting>
  <printOptions horizontalCentered="1"/>
  <pageMargins left="0.27559055118110237" right="0.19685039370078741" top="0.74803149606299213" bottom="0.74803149606299213" header="0.31496062992125984" footer="0.31496062992125984"/>
  <pageSetup paperSize="9" scale="58" fitToHeight="0" orientation="portrait" verticalDpi="4294967293" r:id="rId1"/>
  <rowBreaks count="7" manualBreakCount="7">
    <brk id="46" max="16383" man="1"/>
    <brk id="95" min="1" max="23" man="1"/>
    <brk id="137" max="16383" man="1"/>
    <brk id="185" max="16383" man="1"/>
    <brk id="235" min="1" max="20" man="1"/>
    <brk id="295" min="1" max="20" man="1"/>
    <brk id="347" max="16383" man="1"/>
  </rowBreaks>
  <colBreaks count="1" manualBreakCount="1">
    <brk id="28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59D56-7BFC-43E7-A6FE-CD898F2DCC0C}">
  <dimension ref="B1:AM366"/>
  <sheetViews>
    <sheetView showRuler="0" view="pageBreakPreview" topLeftCell="A335" zoomScale="70" zoomScaleNormal="100" zoomScaleSheetLayoutView="70" workbookViewId="0">
      <selection activeCell="G348" sqref="G348:N348"/>
    </sheetView>
  </sheetViews>
  <sheetFormatPr baseColWidth="10" defaultColWidth="12" defaultRowHeight="10.5" x14ac:dyDescent="0.3"/>
  <cols>
    <col min="1" max="1" width="4.296875" style="130" customWidth="1"/>
    <col min="2" max="2" width="4.5" style="130" bestFit="1" customWidth="1"/>
    <col min="3" max="3" width="43.796875" style="130" customWidth="1"/>
    <col min="4" max="4" width="7.19921875" style="130" customWidth="1"/>
    <col min="5" max="5" width="5" style="130" customWidth="1"/>
    <col min="6" max="6" width="5.796875" style="130" customWidth="1"/>
    <col min="7" max="7" width="6" style="130" customWidth="1"/>
    <col min="8" max="8" width="5.796875" style="150" customWidth="1"/>
    <col min="9" max="17" width="5.796875" style="130" customWidth="1"/>
    <col min="18" max="18" width="6.296875" style="130" customWidth="1"/>
    <col min="19" max="19" width="6.19921875" style="130" customWidth="1"/>
    <col min="20" max="21" width="6.5" style="130" customWidth="1"/>
    <col min="22" max="22" width="6.296875" style="130" customWidth="1"/>
    <col min="23" max="23" width="6.796875" style="130" customWidth="1"/>
    <col min="24" max="24" width="8.69921875" style="130" customWidth="1"/>
    <col min="25" max="25" width="13" style="130" bestFit="1" customWidth="1"/>
    <col min="26" max="26" width="16" style="130" bestFit="1" customWidth="1"/>
    <col min="27" max="27" width="8.69921875" style="130" customWidth="1"/>
    <col min="28" max="28" width="8.69921875" style="261" customWidth="1"/>
    <col min="29" max="29" width="14.5" style="130" customWidth="1"/>
    <col min="30" max="31" width="8.5" style="130" customWidth="1"/>
    <col min="32" max="40" width="8.796875" style="130" customWidth="1"/>
    <col min="41" max="16384" width="12" style="130"/>
  </cols>
  <sheetData>
    <row r="1" spans="2:28" ht="39" customHeight="1" x14ac:dyDescent="0.55000000000000004">
      <c r="B1" s="164" t="s">
        <v>516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30" t="s">
        <v>561</v>
      </c>
    </row>
    <row r="2" spans="2:28" ht="37.5" customHeight="1" x14ac:dyDescent="0.3">
      <c r="B2" s="166" t="s">
        <v>224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30" t="s">
        <v>562</v>
      </c>
      <c r="Z2" s="30"/>
    </row>
    <row r="3" spans="2:28" ht="12.75" customHeight="1" x14ac:dyDescent="0.3">
      <c r="B3" s="162"/>
      <c r="C3" s="168"/>
      <c r="D3" s="161"/>
      <c r="E3" s="161"/>
      <c r="F3" s="222" t="s">
        <v>220</v>
      </c>
      <c r="G3" s="223"/>
      <c r="H3" s="224"/>
      <c r="I3" s="222" t="s">
        <v>663</v>
      </c>
      <c r="J3" s="225"/>
      <c r="K3" s="226"/>
      <c r="L3" s="222" t="s">
        <v>532</v>
      </c>
      <c r="M3" s="225"/>
      <c r="N3" s="226"/>
      <c r="O3" s="222" t="s">
        <v>526</v>
      </c>
      <c r="P3" s="225"/>
      <c r="Q3" s="226"/>
      <c r="R3" s="222" t="s">
        <v>287</v>
      </c>
      <c r="S3" s="225"/>
      <c r="T3" s="226"/>
      <c r="U3" s="413" t="s">
        <v>527</v>
      </c>
      <c r="V3" s="226"/>
      <c r="W3" s="226"/>
      <c r="X3" s="161" t="s">
        <v>213</v>
      </c>
      <c r="Y3" s="30"/>
      <c r="Z3" s="30"/>
    </row>
    <row r="4" spans="2:28" ht="12.75" customHeight="1" x14ac:dyDescent="0.3">
      <c r="B4" s="159" t="s">
        <v>0</v>
      </c>
      <c r="C4" s="170" t="s">
        <v>1</v>
      </c>
      <c r="D4" s="160" t="s">
        <v>2</v>
      </c>
      <c r="E4" s="160" t="s">
        <v>3</v>
      </c>
      <c r="F4" s="217" t="s">
        <v>523</v>
      </c>
      <c r="G4" s="218"/>
      <c r="H4" s="219"/>
      <c r="I4" s="217" t="s">
        <v>525</v>
      </c>
      <c r="J4" s="220"/>
      <c r="K4" s="221"/>
      <c r="L4" s="217" t="s">
        <v>664</v>
      </c>
      <c r="M4" s="220"/>
      <c r="N4" s="221"/>
      <c r="O4" s="217" t="s">
        <v>529</v>
      </c>
      <c r="P4" s="220"/>
      <c r="Q4" s="221"/>
      <c r="R4" s="217" t="s">
        <v>530</v>
      </c>
      <c r="S4" s="220"/>
      <c r="T4" s="221"/>
      <c r="U4" s="414" t="s">
        <v>528</v>
      </c>
      <c r="V4" s="255"/>
      <c r="W4" s="415"/>
      <c r="X4" s="160" t="s">
        <v>9</v>
      </c>
      <c r="Y4" s="519" t="s">
        <v>223</v>
      </c>
      <c r="Z4" s="521" t="s">
        <v>4</v>
      </c>
    </row>
    <row r="5" spans="2:28" ht="12.75" customHeight="1" thickBot="1" x14ac:dyDescent="0.35">
      <c r="B5" s="163"/>
      <c r="C5" s="169"/>
      <c r="D5" s="157"/>
      <c r="E5" s="476"/>
      <c r="F5" s="131" t="s">
        <v>33</v>
      </c>
      <c r="G5" s="131" t="s">
        <v>34</v>
      </c>
      <c r="H5" s="132" t="s">
        <v>35</v>
      </c>
      <c r="I5" s="131" t="s">
        <v>33</v>
      </c>
      <c r="J5" s="131" t="s">
        <v>34</v>
      </c>
      <c r="K5" s="132" t="s">
        <v>35</v>
      </c>
      <c r="L5" s="131" t="s">
        <v>33</v>
      </c>
      <c r="M5" s="131" t="s">
        <v>34</v>
      </c>
      <c r="N5" s="132" t="s">
        <v>35</v>
      </c>
      <c r="O5" s="131" t="s">
        <v>33</v>
      </c>
      <c r="P5" s="131" t="s">
        <v>34</v>
      </c>
      <c r="Q5" s="132" t="s">
        <v>35</v>
      </c>
      <c r="R5" s="131" t="s">
        <v>33</v>
      </c>
      <c r="S5" s="131" t="s">
        <v>34</v>
      </c>
      <c r="T5" s="132" t="s">
        <v>35</v>
      </c>
      <c r="U5" s="131" t="s">
        <v>33</v>
      </c>
      <c r="V5" s="131" t="s">
        <v>34</v>
      </c>
      <c r="W5" s="132" t="s">
        <v>35</v>
      </c>
      <c r="X5" s="157"/>
      <c r="Y5" s="520"/>
      <c r="Z5" s="522"/>
    </row>
    <row r="6" spans="2:28" ht="12.75" customHeight="1" thickBot="1" x14ac:dyDescent="0.35">
      <c r="B6" s="133">
        <v>1</v>
      </c>
      <c r="C6" s="142" t="s">
        <v>574</v>
      </c>
      <c r="D6" s="481">
        <f>IFERROR(VLOOKUP(C6,Tabla15[[Piloto]:[Puntos clase]],7, FALSE), " ")</f>
        <v>2</v>
      </c>
      <c r="E6" s="477" t="str">
        <f>LEFT(AB6,LEN(AB6)-2)</f>
        <v>2</v>
      </c>
      <c r="F6" s="475">
        <f>IFERROR(VLOOKUP(C6,'01_RS ALCARRIA'!$D$6:$M$36,10,FALSE),"")</f>
        <v>25</v>
      </c>
      <c r="G6" s="135">
        <f>IFERROR(VLOOKUP(C6,'01_RS ALCARRIA'!$D$6:$O$36,12,FALSE),"")</f>
        <v>10</v>
      </c>
      <c r="H6" s="138">
        <f t="shared" ref="H6:H26" si="0">(F6+G6)*2</f>
        <v>70</v>
      </c>
      <c r="I6" s="135"/>
      <c r="J6" s="135"/>
      <c r="K6" s="138"/>
      <c r="L6" s="135"/>
      <c r="M6" s="135"/>
      <c r="N6" s="138"/>
      <c r="O6" s="135"/>
      <c r="P6" s="135"/>
      <c r="Q6" s="138"/>
      <c r="R6" s="135"/>
      <c r="S6" s="135"/>
      <c r="T6" s="138"/>
      <c r="U6" s="135"/>
      <c r="V6" s="135"/>
      <c r="W6" s="138"/>
      <c r="X6" s="139">
        <f>H6+K6+N6+Q6+T6+W6</f>
        <v>70</v>
      </c>
      <c r="Y6" s="140" t="str">
        <f>IF(Z6&gt;=3,"Sí","No")</f>
        <v>No</v>
      </c>
      <c r="Z6" s="141">
        <f>COUNTA(H6,K6,N6,Q6,T6,W6)</f>
        <v>1</v>
      </c>
      <c r="AB6" s="261" t="str">
        <f>IFERROR(VLOOKUP(C6,Tabla15[[Piloto]:[Puntos clase]],6, FALSE), " ")</f>
        <v>2RM</v>
      </c>
    </row>
    <row r="7" spans="2:28" ht="12.75" customHeight="1" x14ac:dyDescent="0.3">
      <c r="B7" s="133">
        <v>2</v>
      </c>
      <c r="C7" s="134" t="s">
        <v>576</v>
      </c>
      <c r="D7" s="482">
        <f>IFERROR(VLOOKUP(C7,Tabla15[[Piloto]:[Puntos clase]],7, FALSE), " ")</f>
        <v>2</v>
      </c>
      <c r="E7" s="483" t="str">
        <f>LEFT(AB7,LEN(AB7)-2)</f>
        <v>2</v>
      </c>
      <c r="F7" s="135">
        <f>IFERROR(VLOOKUP(C7,'01_RS ALCARRIA'!$D$6:$M$36,10,FALSE),"")</f>
        <v>20</v>
      </c>
      <c r="G7" s="135">
        <f>IFERROR(VLOOKUP(C7,'01_RS ALCARRIA'!$D$6:$O$36,12,FALSE),"")</f>
        <v>8</v>
      </c>
      <c r="H7" s="138">
        <f t="shared" si="0"/>
        <v>56</v>
      </c>
      <c r="I7" s="135"/>
      <c r="J7" s="135"/>
      <c r="K7" s="138"/>
      <c r="L7" s="135"/>
      <c r="M7" s="135"/>
      <c r="N7" s="138"/>
      <c r="O7" s="135"/>
      <c r="P7" s="135"/>
      <c r="Q7" s="138"/>
      <c r="R7" s="135"/>
      <c r="S7" s="135"/>
      <c r="T7" s="138"/>
      <c r="U7" s="135"/>
      <c r="V7" s="135"/>
      <c r="W7" s="138"/>
      <c r="X7" s="139">
        <f t="shared" ref="X7:X32" si="1">H7+K7+N7+Q7+T7+W7</f>
        <v>56</v>
      </c>
      <c r="Y7" s="140" t="str">
        <f t="shared" ref="Y7:Y32" si="2">IF(Z7&gt;=3,"Sí","No")</f>
        <v>No</v>
      </c>
      <c r="Z7" s="141">
        <f t="shared" ref="Z7:Z32" si="3">COUNTA(H7,K7,N7,Q7,T7,W7)</f>
        <v>1</v>
      </c>
      <c r="AB7" s="261" t="str">
        <f>IFERROR(VLOOKUP(C7,Tabla15[[Piloto]:[Puntos clase]],6, FALSE), " ")</f>
        <v>2RM</v>
      </c>
    </row>
    <row r="8" spans="2:28" ht="12.75" customHeight="1" x14ac:dyDescent="0.3">
      <c r="B8" s="133">
        <v>3</v>
      </c>
      <c r="C8" s="142" t="s">
        <v>654</v>
      </c>
      <c r="D8" s="482">
        <f>IFERROR(VLOOKUP(C8,Tabla15[[Piloto]:[Puntos clase]],7, FALSE), " ")</f>
        <v>1</v>
      </c>
      <c r="E8" s="482" t="str">
        <f>LEFT(AB8,LEN(AB8)-2)</f>
        <v>4</v>
      </c>
      <c r="F8" s="135">
        <f>IFERROR(VLOOKUP(C8,'01_RS ALCARRIA'!$D$6:$M$36,10,FALSE),"")</f>
        <v>17</v>
      </c>
      <c r="G8" s="284">
        <f>IFERROR(VLOOKUP(C8,'01_RS ALCARRIA'!$D$6:$O$36,12,FALSE),"")/2</f>
        <v>5</v>
      </c>
      <c r="H8" s="138">
        <f t="shared" si="0"/>
        <v>44</v>
      </c>
      <c r="I8" s="135"/>
      <c r="J8" s="135"/>
      <c r="K8" s="138"/>
      <c r="L8" s="135"/>
      <c r="M8" s="135"/>
      <c r="N8" s="138"/>
      <c r="O8" s="135"/>
      <c r="P8" s="135"/>
      <c r="Q8" s="138"/>
      <c r="R8" s="135"/>
      <c r="S8" s="135"/>
      <c r="T8" s="138"/>
      <c r="U8" s="135"/>
      <c r="V8" s="135"/>
      <c r="W8" s="138"/>
      <c r="X8" s="139">
        <f t="shared" si="1"/>
        <v>44</v>
      </c>
      <c r="Y8" s="140" t="str">
        <f t="shared" si="2"/>
        <v>No</v>
      </c>
      <c r="Z8" s="141">
        <f t="shared" si="3"/>
        <v>1</v>
      </c>
      <c r="AB8" s="261" t="str">
        <f>IFERROR(VLOOKUP(C8,Tabla15[[Piloto]:[Puntos clase]],6, FALSE), " ")</f>
        <v>4RM</v>
      </c>
    </row>
    <row r="9" spans="2:28" ht="12.75" customHeight="1" x14ac:dyDescent="0.3">
      <c r="B9" s="133">
        <v>4</v>
      </c>
      <c r="C9" s="142" t="s">
        <v>585</v>
      </c>
      <c r="D9" s="482">
        <v>2</v>
      </c>
      <c r="E9" s="482">
        <v>2</v>
      </c>
      <c r="F9" s="135">
        <f>IFERROR(VLOOKUP(C9,'01_RS ALCARRIA'!$D$6:$M$36,10,FALSE),"")</f>
        <v>15</v>
      </c>
      <c r="G9" s="135">
        <f>IFERROR(VLOOKUP(C9,'01_RS ALCARRIA'!$D$6:$O$36,12,FALSE),"")</f>
        <v>6</v>
      </c>
      <c r="H9" s="138">
        <f t="shared" si="0"/>
        <v>42</v>
      </c>
      <c r="I9" s="135"/>
      <c r="J9" s="135"/>
      <c r="K9" s="138"/>
      <c r="L9" s="135"/>
      <c r="M9" s="135"/>
      <c r="N9" s="138"/>
      <c r="O9" s="135"/>
      <c r="P9" s="135"/>
      <c r="Q9" s="138"/>
      <c r="R9" s="135"/>
      <c r="S9" s="135"/>
      <c r="T9" s="138"/>
      <c r="U9" s="135"/>
      <c r="V9" s="135"/>
      <c r="W9" s="138"/>
      <c r="X9" s="139">
        <f t="shared" si="1"/>
        <v>42</v>
      </c>
      <c r="Y9" s="140" t="str">
        <f t="shared" si="2"/>
        <v>No</v>
      </c>
      <c r="Z9" s="141">
        <f t="shared" si="3"/>
        <v>1</v>
      </c>
      <c r="AB9" s="261" t="str">
        <f>IFERROR(VLOOKUP(C9,Tabla15[[Piloto]:[Puntos clase]],6, FALSE), " ")</f>
        <v>2RM</v>
      </c>
    </row>
    <row r="10" spans="2:28" ht="12.75" customHeight="1" x14ac:dyDescent="0.3">
      <c r="B10" s="133">
        <v>5</v>
      </c>
      <c r="C10" s="134" t="s">
        <v>368</v>
      </c>
      <c r="D10" s="482">
        <f>IFERROR(VLOOKUP(C10,Tabla15[[Piloto]:[Puntos clase]],7, FALSE), " ")</f>
        <v>3</v>
      </c>
      <c r="E10" s="482" t="str">
        <f t="shared" ref="E10:E18" si="4">LEFT(AB10,LEN(AB10)-2)</f>
        <v>2</v>
      </c>
      <c r="F10" s="135">
        <f>IFERROR(VLOOKUP(C10,'01_RS ALCARRIA'!$D$6:$M$36,10,FALSE),"")</f>
        <v>10</v>
      </c>
      <c r="G10" s="135">
        <f>IFERROR(VLOOKUP(C10,'01_RS ALCARRIA'!$D$6:$O$36,12,FALSE),"")</f>
        <v>10</v>
      </c>
      <c r="H10" s="138">
        <f t="shared" si="0"/>
        <v>40</v>
      </c>
      <c r="I10" s="135"/>
      <c r="J10" s="135"/>
      <c r="K10" s="138"/>
      <c r="L10" s="135"/>
      <c r="M10" s="135"/>
      <c r="N10" s="138"/>
      <c r="O10" s="135"/>
      <c r="P10" s="135"/>
      <c r="Q10" s="138"/>
      <c r="R10" s="135"/>
      <c r="S10" s="135"/>
      <c r="T10" s="138"/>
      <c r="U10" s="135"/>
      <c r="V10" s="135"/>
      <c r="W10" s="138"/>
      <c r="X10" s="139">
        <f t="shared" si="1"/>
        <v>40</v>
      </c>
      <c r="Y10" s="140" t="str">
        <f t="shared" si="2"/>
        <v>No</v>
      </c>
      <c r="Z10" s="141">
        <f t="shared" si="3"/>
        <v>1</v>
      </c>
      <c r="AB10" s="261" t="str">
        <f>IFERROR(VLOOKUP(C10,Tabla15[[Piloto]:[Puntos clase]],6, FALSE), " ")</f>
        <v>2RM</v>
      </c>
    </row>
    <row r="11" spans="2:28" ht="12.75" customHeight="1" x14ac:dyDescent="0.3">
      <c r="B11" s="133">
        <v>6</v>
      </c>
      <c r="C11" s="134" t="s">
        <v>174</v>
      </c>
      <c r="D11" s="482">
        <f>IFERROR(VLOOKUP(C11,Tabla15[[Piloto]:[Puntos clase]],7, FALSE), " ")</f>
        <v>1</v>
      </c>
      <c r="E11" s="482" t="str">
        <f t="shared" si="4"/>
        <v>4</v>
      </c>
      <c r="F11" s="135">
        <f>IFERROR(VLOOKUP(C11,'01_RS ALCARRIA'!$D$6:$M$36,10,FALSE),"")</f>
        <v>12</v>
      </c>
      <c r="G11" s="284">
        <f>IFERROR(VLOOKUP(C11,'01_RS ALCARRIA'!$D$6:$O$36,12,FALSE),"")/2</f>
        <v>4</v>
      </c>
      <c r="H11" s="138">
        <f t="shared" si="0"/>
        <v>32</v>
      </c>
      <c r="I11" s="135"/>
      <c r="J11" s="135"/>
      <c r="K11" s="138"/>
      <c r="L11" s="135"/>
      <c r="M11" s="135"/>
      <c r="N11" s="138"/>
      <c r="O11" s="135"/>
      <c r="P11" s="135"/>
      <c r="Q11" s="138"/>
      <c r="R11" s="135"/>
      <c r="S11" s="135"/>
      <c r="T11" s="138"/>
      <c r="U11" s="135"/>
      <c r="V11" s="135"/>
      <c r="W11" s="138"/>
      <c r="X11" s="139">
        <f t="shared" si="1"/>
        <v>32</v>
      </c>
      <c r="Y11" s="140" t="str">
        <f t="shared" si="2"/>
        <v>No</v>
      </c>
      <c r="Z11" s="141">
        <f t="shared" si="3"/>
        <v>1</v>
      </c>
      <c r="AB11" s="261" t="str">
        <f>IFERROR(VLOOKUP(C11,Tabla15[[Piloto]:[Puntos clase]],6, FALSE), " ")</f>
        <v>4RM</v>
      </c>
    </row>
    <row r="12" spans="2:28" ht="12.75" customHeight="1" x14ac:dyDescent="0.3">
      <c r="B12" s="133">
        <v>6</v>
      </c>
      <c r="C12" s="142" t="s">
        <v>592</v>
      </c>
      <c r="D12" s="482">
        <f>IFERROR(VLOOKUP(C12,Tabla15[[Piloto]:[Puntos clase]],7, FALSE), " ")</f>
        <v>3</v>
      </c>
      <c r="E12" s="482" t="str">
        <f t="shared" si="4"/>
        <v>2</v>
      </c>
      <c r="F12" s="135">
        <f>IFERROR(VLOOKUP(C12,'01_RS ALCARRIA'!$D$6:$M$36,10,FALSE),"")</f>
        <v>8</v>
      </c>
      <c r="G12" s="135">
        <f>IFERROR(VLOOKUP(C12,'01_RS ALCARRIA'!$D$6:$O$36,12,FALSE),"")</f>
        <v>8</v>
      </c>
      <c r="H12" s="138">
        <f t="shared" si="0"/>
        <v>32</v>
      </c>
      <c r="I12" s="135"/>
      <c r="J12" s="135"/>
      <c r="K12" s="138"/>
      <c r="L12" s="135"/>
      <c r="M12" s="135"/>
      <c r="N12" s="138"/>
      <c r="O12" s="135"/>
      <c r="P12" s="135"/>
      <c r="Q12" s="138"/>
      <c r="R12" s="135"/>
      <c r="S12" s="135"/>
      <c r="T12" s="138"/>
      <c r="U12" s="135"/>
      <c r="V12" s="135"/>
      <c r="W12" s="138"/>
      <c r="X12" s="139">
        <f t="shared" si="1"/>
        <v>32</v>
      </c>
      <c r="Y12" s="140" t="str">
        <f t="shared" si="2"/>
        <v>No</v>
      </c>
      <c r="Z12" s="141">
        <f t="shared" si="3"/>
        <v>1</v>
      </c>
      <c r="AB12" s="261" t="str">
        <f>IFERROR(VLOOKUP(C12,Tabla15[[Piloto]:[Puntos clase]],6, FALSE), " ")</f>
        <v>2RM</v>
      </c>
    </row>
    <row r="13" spans="2:28" ht="12.75" customHeight="1" x14ac:dyDescent="0.3">
      <c r="B13" s="133">
        <v>8</v>
      </c>
      <c r="C13" s="142" t="s">
        <v>597</v>
      </c>
      <c r="D13" s="482">
        <f>IFERROR(VLOOKUP(C13,Tabla15[[Piloto]:[Puntos clase]],7, FALSE), " ")</f>
        <v>5</v>
      </c>
      <c r="E13" s="482" t="str">
        <f t="shared" si="4"/>
        <v>2</v>
      </c>
      <c r="F13" s="135">
        <f>IFERROR(VLOOKUP(C13,'01_RS ALCARRIA'!$D$6:$M$36,10,FALSE),"")</f>
        <v>4</v>
      </c>
      <c r="G13" s="135">
        <f>IFERROR(VLOOKUP(C13,'01_RS ALCARRIA'!$D$6:$O$36,12,FALSE),"")</f>
        <v>10</v>
      </c>
      <c r="H13" s="138">
        <f t="shared" si="0"/>
        <v>28</v>
      </c>
      <c r="I13" s="135"/>
      <c r="J13" s="135"/>
      <c r="K13" s="138"/>
      <c r="L13" s="135"/>
      <c r="M13" s="135"/>
      <c r="N13" s="138"/>
      <c r="O13" s="135"/>
      <c r="P13" s="135"/>
      <c r="Q13" s="138"/>
      <c r="R13" s="135"/>
      <c r="S13" s="135"/>
      <c r="T13" s="138"/>
      <c r="U13" s="135"/>
      <c r="V13" s="135"/>
      <c r="W13" s="138"/>
      <c r="X13" s="139">
        <f t="shared" si="1"/>
        <v>28</v>
      </c>
      <c r="Y13" s="140" t="str">
        <f t="shared" si="2"/>
        <v>No</v>
      </c>
      <c r="Z13" s="141">
        <f t="shared" si="3"/>
        <v>1</v>
      </c>
      <c r="AB13" s="261" t="str">
        <f>IFERROR(VLOOKUP(C13,Tabla15[[Piloto]:[Puntos clase]],6, FALSE), " ")</f>
        <v>2RM</v>
      </c>
    </row>
    <row r="14" spans="2:28" ht="12.75" customHeight="1" x14ac:dyDescent="0.3">
      <c r="B14" s="133">
        <v>9</v>
      </c>
      <c r="C14" s="155" t="s">
        <v>283</v>
      </c>
      <c r="D14" s="482">
        <f>IFERROR(VLOOKUP(C14,Tabla15[[Piloto]:[Puntos clase]],7, FALSE), " ")</f>
        <v>4</v>
      </c>
      <c r="E14" s="482" t="str">
        <f t="shared" si="4"/>
        <v>2</v>
      </c>
      <c r="F14" s="135">
        <f>IFERROR(VLOOKUP(C14,'01_RS ALCARRIA'!$D$6:$M$36,10,FALSE),"")</f>
        <v>3</v>
      </c>
      <c r="G14" s="135">
        <f>IFERROR(VLOOKUP(C14,'01_RS ALCARRIA'!$D$6:$O$36,12,FALSE),"")</f>
        <v>10</v>
      </c>
      <c r="H14" s="138">
        <f t="shared" si="0"/>
        <v>26</v>
      </c>
      <c r="I14" s="135"/>
      <c r="J14" s="135"/>
      <c r="K14" s="138"/>
      <c r="L14" s="135"/>
      <c r="M14" s="135"/>
      <c r="N14" s="138"/>
      <c r="O14" s="135"/>
      <c r="P14" s="135"/>
      <c r="Q14" s="138"/>
      <c r="R14" s="135"/>
      <c r="S14" s="135"/>
      <c r="T14" s="138"/>
      <c r="U14" s="135"/>
      <c r="V14" s="135"/>
      <c r="W14" s="138"/>
      <c r="X14" s="139">
        <f t="shared" si="1"/>
        <v>26</v>
      </c>
      <c r="Y14" s="140" t="str">
        <f t="shared" si="2"/>
        <v>No</v>
      </c>
      <c r="Z14" s="141">
        <f t="shared" si="3"/>
        <v>1</v>
      </c>
      <c r="AB14" s="261" t="str">
        <f>IFERROR(VLOOKUP(C14,Tabla15[[Piloto]:[Puntos clase]],6, FALSE), " ")</f>
        <v>2RM</v>
      </c>
    </row>
    <row r="15" spans="2:28" ht="12.75" customHeight="1" x14ac:dyDescent="0.3">
      <c r="B15" s="133">
        <v>10</v>
      </c>
      <c r="C15" s="142" t="s">
        <v>593</v>
      </c>
      <c r="D15" s="482">
        <f>IFERROR(VLOOKUP(C15,Tabla15[[Piloto]:[Puntos clase]],7, FALSE), " ")</f>
        <v>3</v>
      </c>
      <c r="E15" s="482" t="str">
        <f t="shared" si="4"/>
        <v>2</v>
      </c>
      <c r="F15" s="135">
        <f>IFERROR(VLOOKUP(C15,'01_RS ALCARRIA'!$D$6:$M$36,10,FALSE),"")</f>
        <v>6</v>
      </c>
      <c r="G15" s="135">
        <f>IFERROR(VLOOKUP(C15,'01_RS ALCARRIA'!$D$6:$O$36,12,FALSE),"")</f>
        <v>6</v>
      </c>
      <c r="H15" s="138">
        <f t="shared" si="0"/>
        <v>24</v>
      </c>
      <c r="I15" s="135"/>
      <c r="J15" s="135"/>
      <c r="K15" s="138"/>
      <c r="L15" s="135"/>
      <c r="M15" s="135"/>
      <c r="N15" s="138"/>
      <c r="O15" s="135"/>
      <c r="P15" s="135"/>
      <c r="Q15" s="138"/>
      <c r="R15" s="135"/>
      <c r="S15" s="135"/>
      <c r="T15" s="138"/>
      <c r="U15" s="135"/>
      <c r="V15" s="135"/>
      <c r="W15" s="138"/>
      <c r="X15" s="139">
        <f t="shared" si="1"/>
        <v>24</v>
      </c>
      <c r="Y15" s="140" t="str">
        <f t="shared" si="2"/>
        <v>No</v>
      </c>
      <c r="Z15" s="141">
        <f t="shared" si="3"/>
        <v>1</v>
      </c>
      <c r="AB15" s="261" t="str">
        <f>IFERROR(VLOOKUP(C15,Tabla15[[Piloto]:[Puntos clase]],6, FALSE), " ")</f>
        <v>2RM</v>
      </c>
    </row>
    <row r="16" spans="2:28" ht="12.75" customHeight="1" x14ac:dyDescent="0.3">
      <c r="B16" s="133">
        <v>11</v>
      </c>
      <c r="C16" s="142" t="s">
        <v>595</v>
      </c>
      <c r="D16" s="482">
        <f>IFERROR(VLOOKUP(C16,Tabla15[[Piloto]:[Puntos clase]],7, FALSE), " ")</f>
        <v>3</v>
      </c>
      <c r="E16" s="482" t="str">
        <f t="shared" si="4"/>
        <v>2</v>
      </c>
      <c r="F16" s="135">
        <f>IFERROR(VLOOKUP(C16,'01_RS ALCARRIA'!$D$6:$M$36,10,FALSE),"")</f>
        <v>5</v>
      </c>
      <c r="G16" s="135">
        <f>IFERROR(VLOOKUP(C16,'01_RS ALCARRIA'!$D$6:$O$36,12,FALSE),"")</f>
        <v>5</v>
      </c>
      <c r="H16" s="138">
        <f t="shared" si="0"/>
        <v>20</v>
      </c>
      <c r="I16" s="135"/>
      <c r="J16" s="135"/>
      <c r="K16" s="138"/>
      <c r="L16" s="135"/>
      <c r="M16" s="135"/>
      <c r="N16" s="138"/>
      <c r="O16" s="135"/>
      <c r="P16" s="135"/>
      <c r="Q16" s="138"/>
      <c r="R16" s="135"/>
      <c r="S16" s="135"/>
      <c r="T16" s="138"/>
      <c r="U16" s="135"/>
      <c r="V16" s="135"/>
      <c r="W16" s="138"/>
      <c r="X16" s="139">
        <f t="shared" si="1"/>
        <v>20</v>
      </c>
      <c r="Y16" s="140" t="str">
        <f t="shared" si="2"/>
        <v>No</v>
      </c>
      <c r="Z16" s="141">
        <f t="shared" si="3"/>
        <v>1</v>
      </c>
      <c r="AB16" s="261" t="str">
        <f>IFERROR(VLOOKUP(C16,Tabla15[[Piloto]:[Puntos clase]],6, FALSE), " ")</f>
        <v>2RM</v>
      </c>
    </row>
    <row r="17" spans="2:28" ht="12.75" customHeight="1" x14ac:dyDescent="0.3">
      <c r="B17" s="133">
        <v>11</v>
      </c>
      <c r="C17" s="142" t="s">
        <v>332</v>
      </c>
      <c r="D17" s="482">
        <f>IFERROR(VLOOKUP(C17,Tabla15[[Piloto]:[Puntos clase]],7, FALSE), " ")</f>
        <v>4</v>
      </c>
      <c r="E17" s="482" t="str">
        <f t="shared" si="4"/>
        <v>2</v>
      </c>
      <c r="F17" s="135">
        <f>IFERROR(VLOOKUP(C17,'01_RS ALCARRIA'!$D$6:$M$36,10,FALSE),"")</f>
        <v>2</v>
      </c>
      <c r="G17" s="135">
        <f>IFERROR(VLOOKUP(C17,'01_RS ALCARRIA'!$D$6:$O$36,12,FALSE),"")</f>
        <v>8</v>
      </c>
      <c r="H17" s="138">
        <f t="shared" si="0"/>
        <v>20</v>
      </c>
      <c r="I17" s="135"/>
      <c r="J17" s="135"/>
      <c r="K17" s="138"/>
      <c r="L17" s="135"/>
      <c r="M17" s="135"/>
      <c r="N17" s="138"/>
      <c r="O17" s="135"/>
      <c r="P17" s="135"/>
      <c r="Q17" s="138"/>
      <c r="R17" s="135"/>
      <c r="S17" s="135"/>
      <c r="T17" s="138"/>
      <c r="U17" s="135"/>
      <c r="V17" s="135"/>
      <c r="W17" s="138"/>
      <c r="X17" s="139">
        <f t="shared" si="1"/>
        <v>20</v>
      </c>
      <c r="Y17" s="140" t="str">
        <f t="shared" si="2"/>
        <v>No</v>
      </c>
      <c r="Z17" s="141">
        <f t="shared" si="3"/>
        <v>1</v>
      </c>
      <c r="AB17" s="261" t="str">
        <f>IFERROR(VLOOKUP(C17,Tabla15[[Piloto]:[Puntos clase]],6, FALSE), " ")</f>
        <v>2RM</v>
      </c>
    </row>
    <row r="18" spans="2:28" ht="12.75" customHeight="1" x14ac:dyDescent="0.3">
      <c r="B18" s="133">
        <v>13</v>
      </c>
      <c r="C18" s="142" t="s">
        <v>621</v>
      </c>
      <c r="D18" s="482">
        <v>4</v>
      </c>
      <c r="E18" s="482" t="str">
        <f t="shared" si="4"/>
        <v>2</v>
      </c>
      <c r="F18" s="135">
        <f>IFERROR(VLOOKUP(C18,'01_RS ALCARRIA'!$D$6:$M$36,10,FALSE),"")</f>
        <v>0</v>
      </c>
      <c r="G18" s="135">
        <f>IFERROR(VLOOKUP(C18,'01_RS ALCARRIA'!$D$6:$O$36,12,FALSE),"")</f>
        <v>6</v>
      </c>
      <c r="H18" s="138">
        <f t="shared" si="0"/>
        <v>12</v>
      </c>
      <c r="I18" s="135"/>
      <c r="J18" s="135"/>
      <c r="K18" s="138"/>
      <c r="L18" s="135"/>
      <c r="M18" s="135"/>
      <c r="N18" s="138"/>
      <c r="O18" s="135"/>
      <c r="P18" s="135"/>
      <c r="Q18" s="138"/>
      <c r="R18" s="135"/>
      <c r="S18" s="135"/>
      <c r="T18" s="138"/>
      <c r="U18" s="135"/>
      <c r="V18" s="135"/>
      <c r="W18" s="138"/>
      <c r="X18" s="139">
        <f t="shared" si="1"/>
        <v>12</v>
      </c>
      <c r="Y18" s="140" t="str">
        <f t="shared" si="2"/>
        <v>No</v>
      </c>
      <c r="Z18" s="141">
        <f t="shared" si="3"/>
        <v>1</v>
      </c>
      <c r="AB18" s="261" t="str">
        <f>IFERROR(VLOOKUP(C18,Tabla15[[Piloto]:[Puntos clase]],6, FALSE), " ")</f>
        <v>2RM</v>
      </c>
    </row>
    <row r="19" spans="2:28" ht="12.75" customHeight="1" x14ac:dyDescent="0.3">
      <c r="B19" s="133">
        <v>14</v>
      </c>
      <c r="C19" s="142" t="s">
        <v>624</v>
      </c>
      <c r="D19" s="482">
        <v>4</v>
      </c>
      <c r="E19" s="482">
        <v>2</v>
      </c>
      <c r="F19" s="135">
        <f>IFERROR(VLOOKUP(C19,'01_RS ALCARRIA'!$D$6:$M$36,10,FALSE),"")</f>
        <v>0</v>
      </c>
      <c r="G19" s="135">
        <f>IFERROR(VLOOKUP(C19,'01_RS ALCARRIA'!$D$6:$O$36,12,FALSE),"")</f>
        <v>5</v>
      </c>
      <c r="H19" s="138">
        <f t="shared" si="0"/>
        <v>10</v>
      </c>
      <c r="I19" s="135"/>
      <c r="J19" s="135"/>
      <c r="K19" s="138"/>
      <c r="L19" s="135"/>
      <c r="M19" s="135"/>
      <c r="N19" s="138"/>
      <c r="O19" s="135"/>
      <c r="P19" s="135"/>
      <c r="Q19" s="138"/>
      <c r="R19" s="135"/>
      <c r="S19" s="135"/>
      <c r="T19" s="138"/>
      <c r="U19" s="135"/>
      <c r="V19" s="135"/>
      <c r="W19" s="138"/>
      <c r="X19" s="139">
        <f t="shared" si="1"/>
        <v>10</v>
      </c>
      <c r="Y19" s="140" t="str">
        <f t="shared" si="2"/>
        <v>No</v>
      </c>
      <c r="Z19" s="141">
        <f t="shared" si="3"/>
        <v>1</v>
      </c>
      <c r="AB19" s="261" t="str">
        <f>IFERROR(VLOOKUP(C19,Tabla15[[Piloto]:[Puntos clase]],6, FALSE), " ")</f>
        <v>2RM</v>
      </c>
    </row>
    <row r="20" spans="2:28" ht="12.75" customHeight="1" x14ac:dyDescent="0.3">
      <c r="B20" s="133">
        <v>15</v>
      </c>
      <c r="C20" s="142" t="s">
        <v>601</v>
      </c>
      <c r="D20" s="482">
        <f>IFERROR(VLOOKUP(C20,Tabla15[[Piloto]:[Puntos clase]],7, FALSE), " ")</f>
        <v>3</v>
      </c>
      <c r="E20" s="482" t="str">
        <f>LEFT(AB20,LEN(AB20)-2)</f>
        <v>2</v>
      </c>
      <c r="F20" s="135">
        <f>IFERROR(VLOOKUP(C20,'01_RS ALCARRIA'!$D$6:$M$36,10,FALSE),"")</f>
        <v>1</v>
      </c>
      <c r="G20" s="135">
        <f>IFERROR(VLOOKUP(C20,'01_RS ALCARRIA'!$D$6:$O$36,12,FALSE),"")</f>
        <v>3</v>
      </c>
      <c r="H20" s="138">
        <f t="shared" si="0"/>
        <v>8</v>
      </c>
      <c r="I20" s="135"/>
      <c r="J20" s="135"/>
      <c r="K20" s="138"/>
      <c r="L20" s="135"/>
      <c r="M20" s="135"/>
      <c r="N20" s="138"/>
      <c r="O20" s="135"/>
      <c r="P20" s="135"/>
      <c r="Q20" s="138"/>
      <c r="R20" s="135"/>
      <c r="S20" s="135"/>
      <c r="T20" s="138"/>
      <c r="U20" s="135"/>
      <c r="V20" s="135"/>
      <c r="W20" s="138"/>
      <c r="X20" s="139">
        <f t="shared" si="1"/>
        <v>8</v>
      </c>
      <c r="Y20" s="140" t="str">
        <f t="shared" si="2"/>
        <v>No</v>
      </c>
      <c r="Z20" s="141">
        <f t="shared" si="3"/>
        <v>1</v>
      </c>
      <c r="AB20" s="261" t="str">
        <f>IFERROR(VLOOKUP(C20,Tabla15[[Piloto]:[Puntos clase]],6, FALSE), " ")</f>
        <v>2RM</v>
      </c>
    </row>
    <row r="21" spans="2:28" ht="12.75" customHeight="1" x14ac:dyDescent="0.3">
      <c r="B21" s="133">
        <v>16</v>
      </c>
      <c r="C21" s="142" t="s">
        <v>604</v>
      </c>
      <c r="D21" s="482">
        <f>IFERROR(VLOOKUP(C21,Tabla15[[Piloto]:[Puntos clase]],7, FALSE), " ")</f>
        <v>3</v>
      </c>
      <c r="E21" s="482" t="str">
        <f>LEFT(AB21,LEN(AB21)-2)</f>
        <v>2</v>
      </c>
      <c r="F21" s="135">
        <f>IFERROR(VLOOKUP(C21,'01_RS ALCARRIA'!$D$6:$M$36,10,FALSE),"")</f>
        <v>0</v>
      </c>
      <c r="G21" s="135">
        <f>IFERROR(VLOOKUP(C21,'01_RS ALCARRIA'!$D$6:$O$36,12,FALSE),"")</f>
        <v>1</v>
      </c>
      <c r="H21" s="138">
        <f t="shared" si="0"/>
        <v>2</v>
      </c>
      <c r="I21" s="135"/>
      <c r="J21" s="135"/>
      <c r="K21" s="138"/>
      <c r="L21" s="135"/>
      <c r="M21" s="135"/>
      <c r="N21" s="138"/>
      <c r="O21" s="135"/>
      <c r="P21" s="135"/>
      <c r="Q21" s="138"/>
      <c r="R21" s="135"/>
      <c r="S21" s="135"/>
      <c r="T21" s="138"/>
      <c r="U21" s="135"/>
      <c r="V21" s="135"/>
      <c r="W21" s="138"/>
      <c r="X21" s="139">
        <f t="shared" si="1"/>
        <v>2</v>
      </c>
      <c r="Y21" s="140" t="str">
        <f t="shared" si="2"/>
        <v>No</v>
      </c>
      <c r="Z21" s="141">
        <f t="shared" si="3"/>
        <v>1</v>
      </c>
      <c r="AB21" s="261" t="str">
        <f>IFERROR(VLOOKUP(C21,Tabla15[[Piloto]:[Puntos clase]],6, FALSE), " ")</f>
        <v>2RM</v>
      </c>
    </row>
    <row r="22" spans="2:28" ht="12.75" customHeight="1" x14ac:dyDescent="0.3">
      <c r="B22" s="133" t="s">
        <v>658</v>
      </c>
      <c r="C22" s="142" t="s">
        <v>606</v>
      </c>
      <c r="D22" s="482">
        <v>3</v>
      </c>
      <c r="E22" s="482">
        <v>2</v>
      </c>
      <c r="F22" s="135">
        <f>IFERROR(VLOOKUP(C22,'01_RS ALCARRIA'!$D$6:$M$36,10,FALSE),"")</f>
        <v>0</v>
      </c>
      <c r="G22" s="135">
        <f>IFERROR(VLOOKUP(C22,'01_RS ALCARRIA'!$D$6:$O$36,12,FALSE),"")</f>
        <v>0</v>
      </c>
      <c r="H22" s="138">
        <f t="shared" si="0"/>
        <v>0</v>
      </c>
      <c r="I22" s="135"/>
      <c r="J22" s="135"/>
      <c r="K22" s="138"/>
      <c r="L22" s="135"/>
      <c r="M22" s="135"/>
      <c r="N22" s="138"/>
      <c r="O22" s="135"/>
      <c r="P22" s="135"/>
      <c r="Q22" s="138"/>
      <c r="R22" s="135"/>
      <c r="S22" s="135"/>
      <c r="T22" s="138"/>
      <c r="U22" s="135"/>
      <c r="V22" s="135"/>
      <c r="W22" s="138"/>
      <c r="X22" s="139">
        <f t="shared" si="1"/>
        <v>0</v>
      </c>
      <c r="Y22" s="140" t="str">
        <f t="shared" si="2"/>
        <v>No</v>
      </c>
      <c r="Z22" s="141">
        <f t="shared" si="3"/>
        <v>1</v>
      </c>
      <c r="AB22" s="261" t="str">
        <f>IFERROR(VLOOKUP(C22,Tabla15[[Piloto]:[Puntos clase]],6, FALSE), " ")</f>
        <v>2RM</v>
      </c>
    </row>
    <row r="23" spans="2:28" ht="12.75" customHeight="1" x14ac:dyDescent="0.3">
      <c r="B23" s="133" t="s">
        <v>658</v>
      </c>
      <c r="C23" s="142" t="s">
        <v>607</v>
      </c>
      <c r="D23" s="482">
        <f>IFERROR(VLOOKUP(C23,Tabla15[[Piloto]:[Puntos clase]],7, FALSE), " ")</f>
        <v>3</v>
      </c>
      <c r="E23" s="482" t="str">
        <f t="shared" ref="E23:E29" si="5">LEFT(AB23,LEN(AB23)-2)</f>
        <v>2</v>
      </c>
      <c r="F23" s="135">
        <f>IFERROR(VLOOKUP(C23,'01_RS ALCARRIA'!$D$6:$M$36,10,FALSE),"")</f>
        <v>0</v>
      </c>
      <c r="G23" s="135">
        <f>IFERROR(VLOOKUP(C23,'01_RS ALCARRIA'!$D$6:$O$36,12,FALSE),"")</f>
        <v>0</v>
      </c>
      <c r="H23" s="138">
        <f t="shared" si="0"/>
        <v>0</v>
      </c>
      <c r="I23" s="135"/>
      <c r="J23" s="135"/>
      <c r="K23" s="138"/>
      <c r="L23" s="135"/>
      <c r="M23" s="135"/>
      <c r="N23" s="138"/>
      <c r="O23" s="135"/>
      <c r="P23" s="284"/>
      <c r="Q23" s="138"/>
      <c r="R23" s="135"/>
      <c r="S23" s="135"/>
      <c r="T23" s="138"/>
      <c r="U23" s="135"/>
      <c r="V23" s="135"/>
      <c r="W23" s="138"/>
      <c r="X23" s="139">
        <f t="shared" si="1"/>
        <v>0</v>
      </c>
      <c r="Y23" s="140" t="str">
        <f t="shared" si="2"/>
        <v>No</v>
      </c>
      <c r="Z23" s="141">
        <f t="shared" si="3"/>
        <v>1</v>
      </c>
      <c r="AB23" s="261" t="str">
        <f>IFERROR(VLOOKUP(C23,Tabla15[[Piloto]:[Puntos clase]],6, FALSE), " ")</f>
        <v>2RM</v>
      </c>
    </row>
    <row r="24" spans="2:28" ht="12.75" customHeight="1" x14ac:dyDescent="0.3">
      <c r="B24" s="133" t="s">
        <v>658</v>
      </c>
      <c r="C24" s="134" t="s">
        <v>610</v>
      </c>
      <c r="D24" s="482">
        <f>IFERROR(VLOOKUP(C24,Tabla15[[Piloto]:[Puntos clase]],7, FALSE), " ")</f>
        <v>3</v>
      </c>
      <c r="E24" s="482" t="str">
        <f t="shared" si="5"/>
        <v>2</v>
      </c>
      <c r="F24" s="135">
        <f>IFERROR(VLOOKUP(C24,'01_RS ALCARRIA'!$D$6:$M$36,10,FALSE),"")</f>
        <v>0</v>
      </c>
      <c r="G24" s="135">
        <f>IFERROR(VLOOKUP(C24,'01_RS ALCARRIA'!$D$6:$O$36,12,FALSE),"")</f>
        <v>0</v>
      </c>
      <c r="H24" s="138">
        <f t="shared" si="0"/>
        <v>0</v>
      </c>
      <c r="I24" s="135"/>
      <c r="J24" s="135"/>
      <c r="K24" s="138"/>
      <c r="L24" s="135"/>
      <c r="M24" s="135"/>
      <c r="N24" s="138"/>
      <c r="O24" s="135"/>
      <c r="P24" s="135"/>
      <c r="Q24" s="138"/>
      <c r="R24" s="135"/>
      <c r="S24" s="135"/>
      <c r="T24" s="138"/>
      <c r="U24" s="135"/>
      <c r="V24" s="135"/>
      <c r="W24" s="138"/>
      <c r="X24" s="139">
        <f t="shared" si="1"/>
        <v>0</v>
      </c>
      <c r="Y24" s="140" t="str">
        <f t="shared" si="2"/>
        <v>No</v>
      </c>
      <c r="Z24" s="141">
        <f t="shared" si="3"/>
        <v>1</v>
      </c>
      <c r="AB24" s="261" t="str">
        <f>IFERROR(VLOOKUP(C24,Tabla15[[Piloto]:[Puntos clase]],6, FALSE), " ")</f>
        <v>2RM</v>
      </c>
    </row>
    <row r="25" spans="2:28" ht="12.75" customHeight="1" x14ac:dyDescent="0.3">
      <c r="B25" s="133" t="s">
        <v>658</v>
      </c>
      <c r="C25" s="142" t="s">
        <v>319</v>
      </c>
      <c r="D25" s="482">
        <f>IFERROR(VLOOKUP(C25,Tabla15[[Piloto]:[Puntos clase]],7, FALSE), " ")</f>
        <v>3</v>
      </c>
      <c r="E25" s="482" t="str">
        <f t="shared" si="5"/>
        <v>2</v>
      </c>
      <c r="F25" s="135">
        <f>IFERROR(VLOOKUP(C25,'01_RS ALCARRIA'!$D$6:$M$36,10,FALSE),"")</f>
        <v>0</v>
      </c>
      <c r="G25" s="135">
        <f>IFERROR(VLOOKUP(C25,'01_RS ALCARRIA'!$D$6:$O$36,12,FALSE),"")</f>
        <v>0</v>
      </c>
      <c r="H25" s="138">
        <f t="shared" si="0"/>
        <v>0</v>
      </c>
      <c r="I25" s="135"/>
      <c r="J25" s="135"/>
      <c r="K25" s="138"/>
      <c r="L25" s="135"/>
      <c r="M25" s="135"/>
      <c r="N25" s="138"/>
      <c r="O25" s="135"/>
      <c r="P25" s="135"/>
      <c r="Q25" s="138"/>
      <c r="R25" s="135"/>
      <c r="S25" s="135"/>
      <c r="T25" s="138"/>
      <c r="U25" s="135"/>
      <c r="V25" s="135"/>
      <c r="W25" s="138"/>
      <c r="X25" s="139">
        <f t="shared" si="1"/>
        <v>0</v>
      </c>
      <c r="Y25" s="140" t="str">
        <f t="shared" si="2"/>
        <v>No</v>
      </c>
      <c r="Z25" s="141">
        <f t="shared" si="3"/>
        <v>1</v>
      </c>
      <c r="AB25" s="261" t="str">
        <f>IFERROR(VLOOKUP(C25,Tabla15[[Piloto]:[Puntos clase]],6, FALSE), " ")</f>
        <v>2RM</v>
      </c>
    </row>
    <row r="26" spans="2:28" ht="13" x14ac:dyDescent="0.3">
      <c r="B26" s="133" t="s">
        <v>658</v>
      </c>
      <c r="C26" s="142" t="s">
        <v>619</v>
      </c>
      <c r="D26" s="482">
        <f>IFERROR(VLOOKUP(C26,Tabla15[[Piloto]:[Puntos clase]],7, FALSE), " ")</f>
        <v>3</v>
      </c>
      <c r="E26" s="482" t="str">
        <f t="shared" si="5"/>
        <v>2</v>
      </c>
      <c r="F26" s="135">
        <f>IFERROR(VLOOKUP(C26,'01_RS ALCARRIA'!$D$6:$M$36,10,FALSE),"")</f>
        <v>0</v>
      </c>
      <c r="G26" s="135">
        <f>IFERROR(VLOOKUP(C26,'01_RS ALCARRIA'!$D$6:$O$36,12,FALSE),"")</f>
        <v>0</v>
      </c>
      <c r="H26" s="138">
        <f t="shared" si="0"/>
        <v>0</v>
      </c>
      <c r="I26" s="135"/>
      <c r="J26" s="135"/>
      <c r="K26" s="138"/>
      <c r="L26" s="135"/>
      <c r="M26" s="135"/>
      <c r="N26" s="138"/>
      <c r="O26" s="135"/>
      <c r="P26" s="284"/>
      <c r="Q26" s="138"/>
      <c r="R26" s="135"/>
      <c r="S26" s="135"/>
      <c r="T26" s="138"/>
      <c r="U26" s="135"/>
      <c r="V26" s="135"/>
      <c r="W26" s="138"/>
      <c r="X26" s="139">
        <f t="shared" si="1"/>
        <v>0</v>
      </c>
      <c r="Y26" s="140" t="str">
        <f t="shared" si="2"/>
        <v>No</v>
      </c>
      <c r="Z26" s="141">
        <f t="shared" si="3"/>
        <v>1</v>
      </c>
      <c r="AB26" s="261" t="str">
        <f>IFERROR(VLOOKUP(C26,Tabla15[[Piloto]:[Puntos clase]],6, FALSE), " ")</f>
        <v>2RM</v>
      </c>
    </row>
    <row r="27" spans="2:28" ht="13" x14ac:dyDescent="0.3">
      <c r="B27" s="133" t="s">
        <v>658</v>
      </c>
      <c r="C27" s="142" t="s">
        <v>626</v>
      </c>
      <c r="D27" s="482">
        <f>IFERROR(VLOOKUP(C27,Tabla15[[Piloto]:[Puntos clase]],7, FALSE), " ")</f>
        <v>5</v>
      </c>
      <c r="E27" s="482" t="str">
        <f t="shared" si="5"/>
        <v>4</v>
      </c>
      <c r="F27" s="135">
        <v>0</v>
      </c>
      <c r="G27" s="135">
        <v>0</v>
      </c>
      <c r="H27" s="138">
        <f t="shared" ref="H27:H32" si="6">(F27+G27)</f>
        <v>0</v>
      </c>
      <c r="I27" s="135"/>
      <c r="J27" s="135"/>
      <c r="K27" s="138"/>
      <c r="L27" s="135"/>
      <c r="M27" s="135"/>
      <c r="N27" s="138"/>
      <c r="O27" s="135"/>
      <c r="P27" s="135"/>
      <c r="Q27" s="138"/>
      <c r="R27" s="135"/>
      <c r="S27" s="135"/>
      <c r="T27" s="138"/>
      <c r="U27" s="135"/>
      <c r="V27" s="135"/>
      <c r="W27" s="138"/>
      <c r="X27" s="139">
        <f t="shared" si="1"/>
        <v>0</v>
      </c>
      <c r="Y27" s="140" t="str">
        <f t="shared" si="2"/>
        <v>No</v>
      </c>
      <c r="Z27" s="141">
        <f t="shared" si="3"/>
        <v>1</v>
      </c>
      <c r="AB27" s="261" t="str">
        <f>IFERROR(VLOOKUP(C27,Tabla15[[Piloto]:[Puntos clase]],6, FALSE), " ")</f>
        <v>4RM</v>
      </c>
    </row>
    <row r="28" spans="2:28" ht="13" x14ac:dyDescent="0.3">
      <c r="B28" s="133" t="s">
        <v>658</v>
      </c>
      <c r="C28" s="142" t="s">
        <v>628</v>
      </c>
      <c r="D28" s="482">
        <f>IFERROR(VLOOKUP(C28,Tabla15[[Piloto]:[Puntos clase]],7, FALSE), " ")</f>
        <v>2</v>
      </c>
      <c r="E28" s="482" t="str">
        <f t="shared" si="5"/>
        <v>2</v>
      </c>
      <c r="F28" s="135">
        <v>0</v>
      </c>
      <c r="G28" s="135">
        <v>0</v>
      </c>
      <c r="H28" s="138">
        <f t="shared" si="6"/>
        <v>0</v>
      </c>
      <c r="I28" s="135"/>
      <c r="J28" s="135"/>
      <c r="K28" s="138"/>
      <c r="L28" s="135"/>
      <c r="M28" s="135"/>
      <c r="N28" s="138"/>
      <c r="O28" s="135"/>
      <c r="P28" s="135"/>
      <c r="Q28" s="138"/>
      <c r="R28" s="135"/>
      <c r="S28" s="135"/>
      <c r="T28" s="138"/>
      <c r="U28" s="135"/>
      <c r="V28" s="135"/>
      <c r="W28" s="138"/>
      <c r="X28" s="139">
        <f t="shared" si="1"/>
        <v>0</v>
      </c>
      <c r="Y28" s="140" t="str">
        <f t="shared" si="2"/>
        <v>No</v>
      </c>
      <c r="Z28" s="141">
        <f t="shared" si="3"/>
        <v>1</v>
      </c>
      <c r="AB28" s="261" t="str">
        <f>IFERROR(VLOOKUP(C28,Tabla15[[Piloto]:[Puntos clase]],6, FALSE), " ")</f>
        <v>2RM</v>
      </c>
    </row>
    <row r="29" spans="2:28" ht="13" x14ac:dyDescent="0.3">
      <c r="B29" s="133" t="s">
        <v>658</v>
      </c>
      <c r="C29" s="142" t="s">
        <v>408</v>
      </c>
      <c r="D29" s="482">
        <f>IFERROR(VLOOKUP(C29,Tabla15[[Piloto]:[Puntos clase]],7, FALSE), " ")</f>
        <v>5</v>
      </c>
      <c r="E29" s="482" t="str">
        <f t="shared" si="5"/>
        <v>2</v>
      </c>
      <c r="F29" s="135">
        <v>0</v>
      </c>
      <c r="G29" s="135">
        <v>0</v>
      </c>
      <c r="H29" s="138">
        <f t="shared" si="6"/>
        <v>0</v>
      </c>
      <c r="I29" s="135"/>
      <c r="J29" s="135"/>
      <c r="K29" s="138"/>
      <c r="L29" s="135"/>
      <c r="M29" s="135"/>
      <c r="N29" s="138"/>
      <c r="O29" s="135"/>
      <c r="P29" s="135"/>
      <c r="Q29" s="138"/>
      <c r="R29" s="135"/>
      <c r="S29" s="135"/>
      <c r="T29" s="138"/>
      <c r="U29" s="135"/>
      <c r="V29" s="135"/>
      <c r="W29" s="138"/>
      <c r="X29" s="139">
        <f t="shared" si="1"/>
        <v>0</v>
      </c>
      <c r="Y29" s="140" t="str">
        <f t="shared" si="2"/>
        <v>No</v>
      </c>
      <c r="Z29" s="141">
        <f t="shared" si="3"/>
        <v>1</v>
      </c>
      <c r="AB29" s="261" t="str">
        <f>IFERROR(VLOOKUP(C29,Tabla15[[Piloto]:[Puntos clase]],6, FALSE), " ")</f>
        <v>2RM</v>
      </c>
    </row>
    <row r="30" spans="2:28" ht="13" x14ac:dyDescent="0.3">
      <c r="B30" s="133" t="s">
        <v>658</v>
      </c>
      <c r="C30" s="142" t="s">
        <v>632</v>
      </c>
      <c r="D30" s="482">
        <v>3</v>
      </c>
      <c r="E30" s="482">
        <v>2</v>
      </c>
      <c r="F30" s="135">
        <v>0</v>
      </c>
      <c r="G30" s="135">
        <v>0</v>
      </c>
      <c r="H30" s="138">
        <f t="shared" si="6"/>
        <v>0</v>
      </c>
      <c r="I30" s="135"/>
      <c r="J30" s="135"/>
      <c r="K30" s="138"/>
      <c r="L30" s="135"/>
      <c r="M30" s="135"/>
      <c r="N30" s="138"/>
      <c r="O30" s="135"/>
      <c r="P30" s="135"/>
      <c r="Q30" s="138"/>
      <c r="R30" s="135"/>
      <c r="S30" s="135"/>
      <c r="T30" s="138"/>
      <c r="U30" s="135"/>
      <c r="V30" s="135"/>
      <c r="W30" s="138"/>
      <c r="X30" s="139">
        <f t="shared" si="1"/>
        <v>0</v>
      </c>
      <c r="Y30" s="140" t="str">
        <f t="shared" si="2"/>
        <v>No</v>
      </c>
      <c r="Z30" s="141">
        <f t="shared" si="3"/>
        <v>1</v>
      </c>
      <c r="AB30" s="261" t="str">
        <f>IFERROR(VLOOKUP(C30,Tabla15[[Piloto]:[Puntos clase]],6, FALSE), " ")</f>
        <v>2RM</v>
      </c>
    </row>
    <row r="31" spans="2:28" ht="13" x14ac:dyDescent="0.3">
      <c r="B31" s="133" t="s">
        <v>658</v>
      </c>
      <c r="C31" s="142" t="s">
        <v>635</v>
      </c>
      <c r="D31" s="482">
        <f>IFERROR(VLOOKUP(C31,Tabla15[[Piloto]:[Puntos clase]],7, FALSE), " ")</f>
        <v>5</v>
      </c>
      <c r="E31" s="482">
        <v>2</v>
      </c>
      <c r="F31" s="135">
        <v>0</v>
      </c>
      <c r="G31" s="135">
        <v>0</v>
      </c>
      <c r="H31" s="138">
        <f t="shared" si="6"/>
        <v>0</v>
      </c>
      <c r="I31" s="135"/>
      <c r="J31" s="135"/>
      <c r="K31" s="138"/>
      <c r="L31" s="135"/>
      <c r="M31" s="135"/>
      <c r="N31" s="138"/>
      <c r="O31" s="135"/>
      <c r="P31" s="135"/>
      <c r="Q31" s="138"/>
      <c r="R31" s="135"/>
      <c r="S31" s="135"/>
      <c r="T31" s="138"/>
      <c r="U31" s="135"/>
      <c r="V31" s="135"/>
      <c r="W31" s="138"/>
      <c r="X31" s="139">
        <f t="shared" si="1"/>
        <v>0</v>
      </c>
      <c r="Y31" s="140" t="str">
        <f t="shared" si="2"/>
        <v>No</v>
      </c>
      <c r="Z31" s="141">
        <f t="shared" si="3"/>
        <v>1</v>
      </c>
      <c r="AB31" s="261" t="str">
        <f>IFERROR(VLOOKUP(C31,Tabla15[[Piloto]:[Puntos clase]],6, FALSE), " ")</f>
        <v>2RM</v>
      </c>
    </row>
    <row r="32" spans="2:28" ht="13" x14ac:dyDescent="0.3">
      <c r="B32" s="133" t="s">
        <v>658</v>
      </c>
      <c r="C32" s="142" t="s">
        <v>637</v>
      </c>
      <c r="D32" s="482">
        <f>IFERROR(VLOOKUP(C32,Tabla15[[Piloto]:[Puntos clase]],7, FALSE), " ")</f>
        <v>4</v>
      </c>
      <c r="E32" s="482">
        <v>2</v>
      </c>
      <c r="F32" s="135">
        <v>0</v>
      </c>
      <c r="G32" s="135">
        <v>0</v>
      </c>
      <c r="H32" s="138">
        <f t="shared" si="6"/>
        <v>0</v>
      </c>
      <c r="I32" s="135"/>
      <c r="J32" s="135"/>
      <c r="K32" s="138"/>
      <c r="L32" s="135"/>
      <c r="M32" s="135"/>
      <c r="N32" s="138"/>
      <c r="O32" s="135"/>
      <c r="P32" s="135"/>
      <c r="Q32" s="138"/>
      <c r="R32" s="135"/>
      <c r="S32" s="135"/>
      <c r="T32" s="138"/>
      <c r="U32" s="135"/>
      <c r="V32" s="135"/>
      <c r="W32" s="138"/>
      <c r="X32" s="139">
        <f t="shared" si="1"/>
        <v>0</v>
      </c>
      <c r="Y32" s="140" t="str">
        <f t="shared" si="2"/>
        <v>No</v>
      </c>
      <c r="Z32" s="141">
        <f t="shared" si="3"/>
        <v>1</v>
      </c>
      <c r="AB32" s="261" t="str">
        <f>IFERROR(VLOOKUP(C32,Tabla15[[Piloto]:[Puntos clase]],6, FALSE), " ")</f>
        <v>2RM</v>
      </c>
    </row>
    <row r="33" spans="2:29" x14ac:dyDescent="0.3">
      <c r="B33" s="156"/>
      <c r="C33" s="3"/>
      <c r="D33" s="3"/>
      <c r="E33" s="3"/>
      <c r="F33" s="3"/>
      <c r="G33" s="3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2:29" ht="12" x14ac:dyDescent="0.3">
      <c r="B34" s="156"/>
      <c r="C34" s="3"/>
      <c r="D34" s="284"/>
      <c r="E34" s="285" t="s">
        <v>534</v>
      </c>
      <c r="F34" s="3"/>
      <c r="G34" s="3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2:29" ht="2.5" customHeight="1" x14ac:dyDescent="0.3">
      <c r="B35" s="1"/>
      <c r="C35" s="156"/>
      <c r="D35" s="2"/>
      <c r="E35" s="2"/>
      <c r="F35" s="2"/>
      <c r="G35" s="2"/>
      <c r="H35" s="3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5"/>
      <c r="AC35" s="2"/>
    </row>
    <row r="36" spans="2:29" ht="12.75" customHeight="1" x14ac:dyDescent="0.3">
      <c r="B36" s="1"/>
      <c r="C36" s="236" t="s">
        <v>510</v>
      </c>
      <c r="D36" s="237" t="s">
        <v>273</v>
      </c>
      <c r="E36" s="495"/>
      <c r="F36" s="2"/>
      <c r="G36" s="2"/>
      <c r="H36" s="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5"/>
      <c r="AC36" s="2"/>
    </row>
    <row r="37" spans="2:29" ht="12.75" customHeight="1" x14ac:dyDescent="0.3">
      <c r="B37" s="1"/>
      <c r="C37" s="236"/>
      <c r="D37" s="155"/>
      <c r="E37" s="2"/>
      <c r="F37" s="2"/>
      <c r="G37" s="2"/>
      <c r="H37" s="3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5"/>
      <c r="AC37" s="2"/>
    </row>
    <row r="38" spans="2:29" ht="39" customHeight="1" x14ac:dyDescent="0.55000000000000004">
      <c r="B38" s="164" t="s">
        <v>516</v>
      </c>
      <c r="C38" s="165"/>
      <c r="D38" s="165"/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65"/>
      <c r="Q38" s="165"/>
      <c r="R38" s="165"/>
      <c r="S38" s="165"/>
      <c r="T38" s="165"/>
      <c r="U38" s="165"/>
      <c r="V38" s="165"/>
      <c r="W38" s="165"/>
      <c r="X38" s="165"/>
    </row>
    <row r="39" spans="2:29" ht="37.5" customHeight="1" x14ac:dyDescent="0.3">
      <c r="B39" s="166" t="s">
        <v>337</v>
      </c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  <c r="V39" s="167"/>
      <c r="W39" s="167"/>
      <c r="X39" s="167"/>
      <c r="Y39" s="30"/>
      <c r="Z39" s="30"/>
    </row>
    <row r="40" spans="2:29" ht="12.75" customHeight="1" x14ac:dyDescent="0.3">
      <c r="B40" s="162"/>
      <c r="C40" s="168"/>
      <c r="D40" s="161"/>
      <c r="E40" s="161"/>
      <c r="F40" s="222" t="s">
        <v>220</v>
      </c>
      <c r="G40" s="223"/>
      <c r="H40" s="224"/>
      <c r="I40" s="222" t="s">
        <v>663</v>
      </c>
      <c r="J40" s="225"/>
      <c r="K40" s="226"/>
      <c r="L40" s="222" t="s">
        <v>532</v>
      </c>
      <c r="M40" s="225"/>
      <c r="N40" s="226"/>
      <c r="O40" s="222" t="s">
        <v>526</v>
      </c>
      <c r="P40" s="225"/>
      <c r="Q40" s="226"/>
      <c r="R40" s="222" t="s">
        <v>287</v>
      </c>
      <c r="S40" s="225"/>
      <c r="T40" s="226"/>
      <c r="U40" s="413" t="s">
        <v>527</v>
      </c>
      <c r="V40" s="226"/>
      <c r="W40" s="226"/>
      <c r="X40" s="161" t="s">
        <v>213</v>
      </c>
      <c r="Y40" s="30"/>
      <c r="Z40" s="30"/>
    </row>
    <row r="41" spans="2:29" ht="12.75" customHeight="1" x14ac:dyDescent="0.3">
      <c r="B41" s="159" t="s">
        <v>0</v>
      </c>
      <c r="C41" s="170" t="s">
        <v>1</v>
      </c>
      <c r="D41" s="160" t="s">
        <v>2</v>
      </c>
      <c r="E41" s="160" t="s">
        <v>3</v>
      </c>
      <c r="F41" s="217" t="s">
        <v>523</v>
      </c>
      <c r="G41" s="218"/>
      <c r="H41" s="219"/>
      <c r="I41" s="217" t="s">
        <v>525</v>
      </c>
      <c r="J41" s="220"/>
      <c r="K41" s="221"/>
      <c r="L41" s="217" t="s">
        <v>664</v>
      </c>
      <c r="M41" s="220"/>
      <c r="N41" s="221"/>
      <c r="O41" s="217" t="s">
        <v>529</v>
      </c>
      <c r="P41" s="220"/>
      <c r="Q41" s="221"/>
      <c r="R41" s="217" t="s">
        <v>530</v>
      </c>
      <c r="S41" s="220"/>
      <c r="T41" s="221"/>
      <c r="U41" s="414" t="s">
        <v>528</v>
      </c>
      <c r="V41" s="255"/>
      <c r="W41" s="415"/>
      <c r="X41" s="160" t="s">
        <v>9</v>
      </c>
      <c r="Y41" s="519" t="s">
        <v>223</v>
      </c>
      <c r="Z41" s="521" t="s">
        <v>4</v>
      </c>
    </row>
    <row r="42" spans="2:29" ht="12.75" customHeight="1" thickBot="1" x14ac:dyDescent="0.35">
      <c r="B42" s="163"/>
      <c r="C42" s="169"/>
      <c r="D42" s="157"/>
      <c r="E42" s="476"/>
      <c r="F42" s="131" t="s">
        <v>33</v>
      </c>
      <c r="G42" s="131" t="s">
        <v>34</v>
      </c>
      <c r="H42" s="132" t="s">
        <v>35</v>
      </c>
      <c r="I42" s="131" t="s">
        <v>33</v>
      </c>
      <c r="J42" s="131" t="s">
        <v>34</v>
      </c>
      <c r="K42" s="132" t="s">
        <v>35</v>
      </c>
      <c r="L42" s="131" t="s">
        <v>33</v>
      </c>
      <c r="M42" s="131" t="s">
        <v>34</v>
      </c>
      <c r="N42" s="132" t="s">
        <v>35</v>
      </c>
      <c r="O42" s="131" t="s">
        <v>33</v>
      </c>
      <c r="P42" s="131" t="s">
        <v>34</v>
      </c>
      <c r="Q42" s="132" t="s">
        <v>35</v>
      </c>
      <c r="R42" s="131" t="s">
        <v>33</v>
      </c>
      <c r="S42" s="131" t="s">
        <v>34</v>
      </c>
      <c r="T42" s="132" t="s">
        <v>35</v>
      </c>
      <c r="U42" s="131" t="s">
        <v>33</v>
      </c>
      <c r="V42" s="131" t="s">
        <v>34</v>
      </c>
      <c r="W42" s="132" t="s">
        <v>35</v>
      </c>
      <c r="X42" s="157"/>
      <c r="Y42" s="520"/>
      <c r="Z42" s="522"/>
    </row>
    <row r="43" spans="2:29" ht="12.75" customHeight="1" thickBot="1" x14ac:dyDescent="0.35">
      <c r="B43" s="133">
        <v>1</v>
      </c>
      <c r="C43" s="142" t="s">
        <v>574</v>
      </c>
      <c r="D43" s="478">
        <f>IFERROR(VLOOKUP(C43,Tabla15[[Piloto]:[Puntos clase]],7, FALSE), " ")</f>
        <v>2</v>
      </c>
      <c r="E43" s="477" t="str">
        <f>LEFT(AB43,LEN(AB43)-2)</f>
        <v>2</v>
      </c>
      <c r="F43" s="475">
        <f>IFERROR(VLOOKUP(C43,'01_RS ALCARRIA'!$D$6:$M$36,10,FALSE),"")</f>
        <v>25</v>
      </c>
      <c r="G43" s="135">
        <f>IFERROR(VLOOKUP(C43,'01_RS ALCARRIA'!$D$6:$O$36,12,FALSE),"")</f>
        <v>10</v>
      </c>
      <c r="H43" s="138">
        <f t="shared" ref="H43:H63" si="7">(F43+G43)*2</f>
        <v>70</v>
      </c>
      <c r="I43" s="135"/>
      <c r="J43" s="135"/>
      <c r="K43" s="138"/>
      <c r="L43" s="135"/>
      <c r="M43" s="135"/>
      <c r="N43" s="138"/>
      <c r="O43" s="135"/>
      <c r="P43" s="135"/>
      <c r="Q43" s="138"/>
      <c r="R43" s="135"/>
      <c r="S43" s="135"/>
      <c r="T43" s="138"/>
      <c r="U43" s="135"/>
      <c r="V43" s="135"/>
      <c r="W43" s="138"/>
      <c r="X43" s="139">
        <f t="shared" ref="X43:X69" si="8">H43+K43+N43+Q43+T43+W43</f>
        <v>70</v>
      </c>
      <c r="Y43" s="140" t="str">
        <f>IF(Z43&gt;=3,"Sí","No")</f>
        <v>No</v>
      </c>
      <c r="Z43" s="141">
        <f>COUNTA(H43,K43,N43,Q43,T43,W43)</f>
        <v>1</v>
      </c>
      <c r="AB43" s="261" t="str">
        <f>IFERROR(VLOOKUP(C43,Tabla15[[Piloto]:[Puntos clase]],6, FALSE), " ")</f>
        <v>2RM</v>
      </c>
    </row>
    <row r="44" spans="2:29" ht="12.75" customHeight="1" x14ac:dyDescent="0.3">
      <c r="B44" s="133">
        <v>2</v>
      </c>
      <c r="C44" s="134" t="s">
        <v>576</v>
      </c>
      <c r="D44" s="482">
        <f>IFERROR(VLOOKUP(C44,Tabla15[[Piloto]:[Puntos clase]],7, FALSE), " ")</f>
        <v>2</v>
      </c>
      <c r="E44" s="483" t="str">
        <f>LEFT(AB44,LEN(AB44)-2)</f>
        <v>2</v>
      </c>
      <c r="F44" s="135">
        <f>IFERROR(VLOOKUP(C44,'01_RS ALCARRIA'!$D$6:$M$36,10,FALSE),"")</f>
        <v>20</v>
      </c>
      <c r="G44" s="135">
        <f>IFERROR(VLOOKUP(C44,'01_RS ALCARRIA'!$D$6:$O$36,12,FALSE),"")</f>
        <v>8</v>
      </c>
      <c r="H44" s="138">
        <f t="shared" si="7"/>
        <v>56</v>
      </c>
      <c r="I44" s="135"/>
      <c r="J44" s="135"/>
      <c r="K44" s="138"/>
      <c r="L44" s="135"/>
      <c r="M44" s="135"/>
      <c r="N44" s="138"/>
      <c r="O44" s="135"/>
      <c r="P44" s="135"/>
      <c r="Q44" s="138"/>
      <c r="R44" s="135"/>
      <c r="S44" s="135"/>
      <c r="T44" s="138"/>
      <c r="U44" s="135"/>
      <c r="V44" s="135"/>
      <c r="W44" s="138"/>
      <c r="X44" s="139">
        <f t="shared" si="8"/>
        <v>56</v>
      </c>
      <c r="Y44" s="140" t="str">
        <f t="shared" ref="Y44:Y69" si="9">IF(Z44&gt;=3,"Sí","No")</f>
        <v>No</v>
      </c>
      <c r="Z44" s="141">
        <f t="shared" ref="Z44:Z69" si="10">COUNTA(H44,K44,N44,Q44,T44,W44)</f>
        <v>1</v>
      </c>
      <c r="AA44" s="5"/>
      <c r="AB44" s="261" t="str">
        <f>IFERROR(VLOOKUP(C44,Tabla15[[Piloto]:[Puntos clase]],6, FALSE), " ")</f>
        <v>2RM</v>
      </c>
      <c r="AC44" s="2"/>
    </row>
    <row r="45" spans="2:29" ht="12.75" customHeight="1" x14ac:dyDescent="0.3">
      <c r="B45" s="133">
        <v>1</v>
      </c>
      <c r="C45" s="142" t="s">
        <v>654</v>
      </c>
      <c r="D45" s="479">
        <f>IFERROR(VLOOKUP(C45,Tabla15[[Piloto]:[Puntos clase]],7, FALSE), " ")</f>
        <v>1</v>
      </c>
      <c r="E45" s="482" t="str">
        <f>LEFT(AB45,LEN(AB45)-2)</f>
        <v>4</v>
      </c>
      <c r="F45" s="135">
        <f>IFERROR(VLOOKUP(C45,'01_RS ALCARRIA'!$D$6:$M$36,10,FALSE),"")</f>
        <v>17</v>
      </c>
      <c r="G45" s="284">
        <f>IFERROR(VLOOKUP(C45,'01_RS ALCARRIA'!$D$6:$O$36,12,FALSE),"")/2</f>
        <v>5</v>
      </c>
      <c r="H45" s="138">
        <f t="shared" si="7"/>
        <v>44</v>
      </c>
      <c r="I45" s="135"/>
      <c r="J45" s="135"/>
      <c r="K45" s="138"/>
      <c r="L45" s="135"/>
      <c r="M45" s="135"/>
      <c r="N45" s="138"/>
      <c r="O45" s="135"/>
      <c r="P45" s="135"/>
      <c r="Q45" s="138"/>
      <c r="R45" s="135"/>
      <c r="S45" s="135"/>
      <c r="T45" s="138"/>
      <c r="U45" s="135"/>
      <c r="V45" s="135"/>
      <c r="W45" s="138"/>
      <c r="X45" s="139">
        <f t="shared" si="8"/>
        <v>44</v>
      </c>
      <c r="Y45" s="140" t="str">
        <f t="shared" si="9"/>
        <v>No</v>
      </c>
      <c r="Z45" s="141">
        <f t="shared" si="10"/>
        <v>1</v>
      </c>
      <c r="AA45" s="5"/>
      <c r="AB45" s="261" t="str">
        <f>IFERROR(VLOOKUP(C45,Tabla15[[Piloto]:[Puntos clase]],6, FALSE), " ")</f>
        <v>4RM</v>
      </c>
      <c r="AC45" s="2"/>
    </row>
    <row r="46" spans="2:29" ht="12.75" customHeight="1" x14ac:dyDescent="0.3">
      <c r="B46" s="133">
        <v>3</v>
      </c>
      <c r="C46" s="142" t="s">
        <v>585</v>
      </c>
      <c r="D46" s="482">
        <v>2</v>
      </c>
      <c r="E46" s="482">
        <v>2</v>
      </c>
      <c r="F46" s="135">
        <f>IFERROR(VLOOKUP(C46,'01_RS ALCARRIA'!$D$6:$M$36,10,FALSE),"")</f>
        <v>15</v>
      </c>
      <c r="G46" s="135">
        <f>IFERROR(VLOOKUP(C46,'01_RS ALCARRIA'!$D$6:$O$36,12,FALSE),"")</f>
        <v>6</v>
      </c>
      <c r="H46" s="138">
        <f t="shared" si="7"/>
        <v>42</v>
      </c>
      <c r="I46" s="135"/>
      <c r="J46" s="135"/>
      <c r="K46" s="138"/>
      <c r="L46" s="135"/>
      <c r="M46" s="135"/>
      <c r="N46" s="138"/>
      <c r="O46" s="135"/>
      <c r="P46" s="135"/>
      <c r="Q46" s="138"/>
      <c r="R46" s="135"/>
      <c r="S46" s="135"/>
      <c r="T46" s="138"/>
      <c r="U46" s="135"/>
      <c r="V46" s="135"/>
      <c r="W46" s="138"/>
      <c r="X46" s="139">
        <f t="shared" si="8"/>
        <v>42</v>
      </c>
      <c r="Y46" s="140" t="str">
        <f t="shared" si="9"/>
        <v>No</v>
      </c>
      <c r="Z46" s="141">
        <f t="shared" si="10"/>
        <v>1</v>
      </c>
      <c r="AA46" s="5"/>
      <c r="AB46" s="261" t="str">
        <f>IFERROR(VLOOKUP(C46,Tabla15[[Piloto]:[Puntos clase]],6, FALSE), " ")</f>
        <v>2RM</v>
      </c>
      <c r="AC46" s="2"/>
    </row>
    <row r="47" spans="2:29" ht="12.75" customHeight="1" x14ac:dyDescent="0.3">
      <c r="B47" s="133">
        <v>1</v>
      </c>
      <c r="C47" s="134" t="s">
        <v>368</v>
      </c>
      <c r="D47" s="479">
        <f>IFERROR(VLOOKUP(C47,Tabla15[[Piloto]:[Puntos clase]],7, FALSE), " ")</f>
        <v>3</v>
      </c>
      <c r="E47" s="482" t="str">
        <f t="shared" ref="E47:E55" si="11">LEFT(AB47,LEN(AB47)-2)</f>
        <v>2</v>
      </c>
      <c r="F47" s="135">
        <f>IFERROR(VLOOKUP(C47,'01_RS ALCARRIA'!$D$6:$M$36,10,FALSE),"")</f>
        <v>10</v>
      </c>
      <c r="G47" s="135">
        <f>IFERROR(VLOOKUP(C47,'01_RS ALCARRIA'!$D$6:$O$36,12,FALSE),"")</f>
        <v>10</v>
      </c>
      <c r="H47" s="138">
        <f t="shared" si="7"/>
        <v>40</v>
      </c>
      <c r="I47" s="135"/>
      <c r="J47" s="135"/>
      <c r="K47" s="138"/>
      <c r="L47" s="135"/>
      <c r="M47" s="135"/>
      <c r="N47" s="138"/>
      <c r="O47" s="135"/>
      <c r="P47" s="135"/>
      <c r="Q47" s="138"/>
      <c r="R47" s="135"/>
      <c r="S47" s="135"/>
      <c r="T47" s="138"/>
      <c r="U47" s="135"/>
      <c r="V47" s="135"/>
      <c r="W47" s="138"/>
      <c r="X47" s="139">
        <f t="shared" si="8"/>
        <v>40</v>
      </c>
      <c r="Y47" s="140" t="str">
        <f t="shared" si="9"/>
        <v>No</v>
      </c>
      <c r="Z47" s="141">
        <f t="shared" si="10"/>
        <v>1</v>
      </c>
      <c r="AB47" s="261" t="str">
        <f>IFERROR(VLOOKUP(C47,Tabla15[[Piloto]:[Puntos clase]],6, FALSE), " ")</f>
        <v>2RM</v>
      </c>
    </row>
    <row r="48" spans="2:29" ht="12.75" customHeight="1" x14ac:dyDescent="0.3">
      <c r="B48" s="133">
        <v>2</v>
      </c>
      <c r="C48" s="134" t="s">
        <v>174</v>
      </c>
      <c r="D48" s="482">
        <f>IFERROR(VLOOKUP(C48,Tabla15[[Piloto]:[Puntos clase]],7, FALSE), " ")</f>
        <v>1</v>
      </c>
      <c r="E48" s="482" t="str">
        <f t="shared" si="11"/>
        <v>4</v>
      </c>
      <c r="F48" s="135">
        <f>IFERROR(VLOOKUP(C48,'01_RS ALCARRIA'!$D$6:$M$36,10,FALSE),"")</f>
        <v>12</v>
      </c>
      <c r="G48" s="284">
        <f>IFERROR(VLOOKUP(C48,'01_RS ALCARRIA'!$D$6:$O$36,12,FALSE),"")/2</f>
        <v>4</v>
      </c>
      <c r="H48" s="138">
        <f t="shared" si="7"/>
        <v>32</v>
      </c>
      <c r="I48" s="135"/>
      <c r="J48" s="135"/>
      <c r="K48" s="138"/>
      <c r="L48" s="135"/>
      <c r="M48" s="135"/>
      <c r="N48" s="138"/>
      <c r="O48" s="135"/>
      <c r="P48" s="135"/>
      <c r="Q48" s="138"/>
      <c r="R48" s="135"/>
      <c r="S48" s="135"/>
      <c r="T48" s="138"/>
      <c r="U48" s="135"/>
      <c r="V48" s="135"/>
      <c r="W48" s="138"/>
      <c r="X48" s="139">
        <f t="shared" si="8"/>
        <v>32</v>
      </c>
      <c r="Y48" s="140" t="str">
        <f t="shared" si="9"/>
        <v>No</v>
      </c>
      <c r="Z48" s="141">
        <f t="shared" si="10"/>
        <v>1</v>
      </c>
      <c r="AB48" s="261" t="str">
        <f>IFERROR(VLOOKUP(C48,Tabla15[[Piloto]:[Puntos clase]],6, FALSE), " ")</f>
        <v>4RM</v>
      </c>
    </row>
    <row r="49" spans="2:28" ht="12.75" customHeight="1" x14ac:dyDescent="0.3">
      <c r="B49" s="133">
        <v>2</v>
      </c>
      <c r="C49" s="142" t="s">
        <v>592</v>
      </c>
      <c r="D49" s="482">
        <f>IFERROR(VLOOKUP(C49,Tabla15[[Piloto]:[Puntos clase]],7, FALSE), " ")</f>
        <v>3</v>
      </c>
      <c r="E49" s="482" t="str">
        <f t="shared" si="11"/>
        <v>2</v>
      </c>
      <c r="F49" s="135">
        <f>IFERROR(VLOOKUP(C49,'01_RS ALCARRIA'!$D$6:$M$36,10,FALSE),"")</f>
        <v>8</v>
      </c>
      <c r="G49" s="135">
        <f>IFERROR(VLOOKUP(C49,'01_RS ALCARRIA'!$D$6:$O$36,12,FALSE),"")</f>
        <v>8</v>
      </c>
      <c r="H49" s="138">
        <f t="shared" si="7"/>
        <v>32</v>
      </c>
      <c r="I49" s="135"/>
      <c r="J49" s="135"/>
      <c r="K49" s="138"/>
      <c r="L49" s="135"/>
      <c r="M49" s="135"/>
      <c r="N49" s="138"/>
      <c r="O49" s="135"/>
      <c r="P49" s="135"/>
      <c r="Q49" s="138"/>
      <c r="R49" s="135"/>
      <c r="S49" s="135"/>
      <c r="T49" s="138"/>
      <c r="U49" s="135"/>
      <c r="V49" s="135"/>
      <c r="W49" s="138"/>
      <c r="X49" s="139">
        <f t="shared" si="8"/>
        <v>32</v>
      </c>
      <c r="Y49" s="140" t="str">
        <f t="shared" si="9"/>
        <v>No</v>
      </c>
      <c r="Z49" s="141">
        <f t="shared" si="10"/>
        <v>1</v>
      </c>
      <c r="AB49" s="261" t="str">
        <f>IFERROR(VLOOKUP(C49,Tabla15[[Piloto]:[Puntos clase]],6, FALSE), " ")</f>
        <v>2RM</v>
      </c>
    </row>
    <row r="50" spans="2:28" ht="12.75" customHeight="1" x14ac:dyDescent="0.3">
      <c r="B50" s="133">
        <v>1</v>
      </c>
      <c r="C50" s="142" t="s">
        <v>597</v>
      </c>
      <c r="D50" s="479">
        <f>IFERROR(VLOOKUP(C50,Tabla15[[Piloto]:[Puntos clase]],7, FALSE), " ")</f>
        <v>5</v>
      </c>
      <c r="E50" s="482" t="str">
        <f t="shared" si="11"/>
        <v>2</v>
      </c>
      <c r="F50" s="135">
        <f>IFERROR(VLOOKUP(C50,'01_RS ALCARRIA'!$D$6:$M$36,10,FALSE),"")</f>
        <v>4</v>
      </c>
      <c r="G50" s="135">
        <f>IFERROR(VLOOKUP(C50,'01_RS ALCARRIA'!$D$6:$O$36,12,FALSE),"")</f>
        <v>10</v>
      </c>
      <c r="H50" s="138">
        <f t="shared" si="7"/>
        <v>28</v>
      </c>
      <c r="I50" s="135"/>
      <c r="J50" s="135"/>
      <c r="K50" s="138"/>
      <c r="L50" s="135"/>
      <c r="M50" s="135"/>
      <c r="N50" s="138"/>
      <c r="O50" s="135"/>
      <c r="P50" s="135"/>
      <c r="Q50" s="138"/>
      <c r="R50" s="135"/>
      <c r="S50" s="135"/>
      <c r="T50" s="138"/>
      <c r="U50" s="135"/>
      <c r="V50" s="135"/>
      <c r="W50" s="138"/>
      <c r="X50" s="139">
        <f t="shared" si="8"/>
        <v>28</v>
      </c>
      <c r="Y50" s="140" t="str">
        <f t="shared" si="9"/>
        <v>No</v>
      </c>
      <c r="Z50" s="141">
        <f t="shared" si="10"/>
        <v>1</v>
      </c>
      <c r="AB50" s="261" t="str">
        <f>IFERROR(VLOOKUP(C50,Tabla15[[Piloto]:[Puntos clase]],6, FALSE), " ")</f>
        <v>2RM</v>
      </c>
    </row>
    <row r="51" spans="2:28" ht="12.75" customHeight="1" x14ac:dyDescent="0.3">
      <c r="B51" s="133">
        <v>1</v>
      </c>
      <c r="C51" s="155" t="s">
        <v>283</v>
      </c>
      <c r="D51" s="479">
        <f>IFERROR(VLOOKUP(C51,Tabla15[[Piloto]:[Puntos clase]],7, FALSE), " ")</f>
        <v>4</v>
      </c>
      <c r="E51" s="482" t="str">
        <f t="shared" si="11"/>
        <v>2</v>
      </c>
      <c r="F51" s="135">
        <f>IFERROR(VLOOKUP(C51,'01_RS ALCARRIA'!$D$6:$M$36,10,FALSE),"")</f>
        <v>3</v>
      </c>
      <c r="G51" s="135">
        <f>IFERROR(VLOOKUP(C51,'01_RS ALCARRIA'!$D$6:$O$36,12,FALSE),"")</f>
        <v>10</v>
      </c>
      <c r="H51" s="138">
        <f t="shared" si="7"/>
        <v>26</v>
      </c>
      <c r="I51" s="135"/>
      <c r="J51" s="135"/>
      <c r="K51" s="138"/>
      <c r="L51" s="135"/>
      <c r="M51" s="135"/>
      <c r="N51" s="138"/>
      <c r="O51" s="135"/>
      <c r="P51" s="135"/>
      <c r="Q51" s="138"/>
      <c r="R51" s="135"/>
      <c r="S51" s="135"/>
      <c r="T51" s="138"/>
      <c r="U51" s="135"/>
      <c r="V51" s="135"/>
      <c r="W51" s="138"/>
      <c r="X51" s="139">
        <f t="shared" si="8"/>
        <v>26</v>
      </c>
      <c r="Y51" s="140" t="str">
        <f t="shared" si="9"/>
        <v>No</v>
      </c>
      <c r="Z51" s="141">
        <f t="shared" si="10"/>
        <v>1</v>
      </c>
      <c r="AB51" s="261" t="str">
        <f>IFERROR(VLOOKUP(C51,Tabla15[[Piloto]:[Puntos clase]],6, FALSE), " ")</f>
        <v>2RM</v>
      </c>
    </row>
    <row r="52" spans="2:28" ht="12.75" customHeight="1" x14ac:dyDescent="0.3">
      <c r="B52" s="133">
        <v>3</v>
      </c>
      <c r="C52" s="142" t="s">
        <v>593</v>
      </c>
      <c r="D52" s="482">
        <f>IFERROR(VLOOKUP(C52,Tabla15[[Piloto]:[Puntos clase]],7, FALSE), " ")</f>
        <v>3</v>
      </c>
      <c r="E52" s="482" t="str">
        <f t="shared" si="11"/>
        <v>2</v>
      </c>
      <c r="F52" s="135">
        <f>IFERROR(VLOOKUP(C52,'01_RS ALCARRIA'!$D$6:$M$36,10,FALSE),"")</f>
        <v>6</v>
      </c>
      <c r="G52" s="135">
        <f>IFERROR(VLOOKUP(C52,'01_RS ALCARRIA'!$D$6:$O$36,12,FALSE),"")</f>
        <v>6</v>
      </c>
      <c r="H52" s="138">
        <f t="shared" si="7"/>
        <v>24</v>
      </c>
      <c r="I52" s="135"/>
      <c r="J52" s="135"/>
      <c r="K52" s="138"/>
      <c r="L52" s="135"/>
      <c r="M52" s="135"/>
      <c r="N52" s="138"/>
      <c r="O52" s="135"/>
      <c r="P52" s="135"/>
      <c r="Q52" s="138"/>
      <c r="R52" s="135"/>
      <c r="S52" s="135"/>
      <c r="T52" s="138"/>
      <c r="U52" s="135"/>
      <c r="V52" s="135"/>
      <c r="W52" s="138"/>
      <c r="X52" s="139">
        <f t="shared" si="8"/>
        <v>24</v>
      </c>
      <c r="Y52" s="140" t="str">
        <f t="shared" si="9"/>
        <v>No</v>
      </c>
      <c r="Z52" s="141">
        <f t="shared" si="10"/>
        <v>1</v>
      </c>
      <c r="AB52" s="261" t="str">
        <f>IFERROR(VLOOKUP(C52,Tabla15[[Piloto]:[Puntos clase]],6, FALSE), " ")</f>
        <v>2RM</v>
      </c>
    </row>
    <row r="53" spans="2:28" ht="12.75" customHeight="1" x14ac:dyDescent="0.3">
      <c r="B53" s="133">
        <v>4</v>
      </c>
      <c r="C53" s="142" t="s">
        <v>595</v>
      </c>
      <c r="D53" s="482">
        <f>IFERROR(VLOOKUP(C53,Tabla15[[Piloto]:[Puntos clase]],7, FALSE), " ")</f>
        <v>3</v>
      </c>
      <c r="E53" s="482" t="str">
        <f t="shared" si="11"/>
        <v>2</v>
      </c>
      <c r="F53" s="135">
        <f>IFERROR(VLOOKUP(C53,'01_RS ALCARRIA'!$D$6:$M$36,10,FALSE),"")</f>
        <v>5</v>
      </c>
      <c r="G53" s="135">
        <f>IFERROR(VLOOKUP(C53,'01_RS ALCARRIA'!$D$6:$O$36,12,FALSE),"")</f>
        <v>5</v>
      </c>
      <c r="H53" s="138">
        <f t="shared" si="7"/>
        <v>20</v>
      </c>
      <c r="I53" s="135"/>
      <c r="J53" s="135"/>
      <c r="K53" s="138"/>
      <c r="L53" s="135"/>
      <c r="M53" s="135"/>
      <c r="N53" s="138"/>
      <c r="O53" s="135"/>
      <c r="P53" s="135"/>
      <c r="Q53" s="138"/>
      <c r="R53" s="135"/>
      <c r="S53" s="135"/>
      <c r="T53" s="138"/>
      <c r="U53" s="135"/>
      <c r="V53" s="135"/>
      <c r="W53" s="138"/>
      <c r="X53" s="139">
        <f t="shared" si="8"/>
        <v>20</v>
      </c>
      <c r="Y53" s="140" t="str">
        <f t="shared" si="9"/>
        <v>No</v>
      </c>
      <c r="Z53" s="141">
        <f t="shared" si="10"/>
        <v>1</v>
      </c>
      <c r="AB53" s="261" t="str">
        <f>IFERROR(VLOOKUP(C53,Tabla15[[Piloto]:[Puntos clase]],6, FALSE), " ")</f>
        <v>2RM</v>
      </c>
    </row>
    <row r="54" spans="2:28" ht="12.75" customHeight="1" x14ac:dyDescent="0.3">
      <c r="B54" s="133">
        <v>2</v>
      </c>
      <c r="C54" s="142" t="s">
        <v>332</v>
      </c>
      <c r="D54" s="482">
        <f>IFERROR(VLOOKUP(C54,Tabla15[[Piloto]:[Puntos clase]],7, FALSE), " ")</f>
        <v>4</v>
      </c>
      <c r="E54" s="482" t="str">
        <f t="shared" si="11"/>
        <v>2</v>
      </c>
      <c r="F54" s="135">
        <f>IFERROR(VLOOKUP(C54,'01_RS ALCARRIA'!$D$6:$M$36,10,FALSE),"")</f>
        <v>2</v>
      </c>
      <c r="G54" s="135">
        <f>IFERROR(VLOOKUP(C54,'01_RS ALCARRIA'!$D$6:$O$36,12,FALSE),"")</f>
        <v>8</v>
      </c>
      <c r="H54" s="138">
        <f t="shared" si="7"/>
        <v>20</v>
      </c>
      <c r="I54" s="135"/>
      <c r="J54" s="135"/>
      <c r="K54" s="138"/>
      <c r="L54" s="135"/>
      <c r="M54" s="135"/>
      <c r="N54" s="138"/>
      <c r="O54" s="135"/>
      <c r="P54" s="135"/>
      <c r="Q54" s="138"/>
      <c r="R54" s="135"/>
      <c r="S54" s="135"/>
      <c r="T54" s="138"/>
      <c r="U54" s="135"/>
      <c r="V54" s="135"/>
      <c r="W54" s="138"/>
      <c r="X54" s="139">
        <f t="shared" si="8"/>
        <v>20</v>
      </c>
      <c r="Y54" s="140" t="str">
        <f t="shared" si="9"/>
        <v>No</v>
      </c>
      <c r="Z54" s="141">
        <f t="shared" si="10"/>
        <v>1</v>
      </c>
      <c r="AB54" s="261" t="str">
        <f>IFERROR(VLOOKUP(C54,Tabla15[[Piloto]:[Puntos clase]],6, FALSE), " ")</f>
        <v>2RM</v>
      </c>
    </row>
    <row r="55" spans="2:28" ht="12.75" customHeight="1" x14ac:dyDescent="0.3">
      <c r="B55" s="133">
        <v>3</v>
      </c>
      <c r="C55" s="142" t="s">
        <v>621</v>
      </c>
      <c r="D55" s="482">
        <v>4</v>
      </c>
      <c r="E55" s="482" t="str">
        <f t="shared" si="11"/>
        <v>2</v>
      </c>
      <c r="F55" s="135">
        <f>IFERROR(VLOOKUP(C55,'01_RS ALCARRIA'!$D$6:$M$36,10,FALSE),"")</f>
        <v>0</v>
      </c>
      <c r="G55" s="135">
        <f>IFERROR(VLOOKUP(C55,'01_RS ALCARRIA'!$D$6:$O$36,12,FALSE),"")</f>
        <v>6</v>
      </c>
      <c r="H55" s="138">
        <f t="shared" si="7"/>
        <v>12</v>
      </c>
      <c r="I55" s="135"/>
      <c r="J55" s="135"/>
      <c r="K55" s="138"/>
      <c r="L55" s="135"/>
      <c r="M55" s="135"/>
      <c r="N55" s="138"/>
      <c r="O55" s="135"/>
      <c r="P55" s="135"/>
      <c r="Q55" s="138"/>
      <c r="R55" s="135"/>
      <c r="S55" s="135"/>
      <c r="T55" s="138"/>
      <c r="U55" s="135"/>
      <c r="V55" s="135"/>
      <c r="W55" s="138"/>
      <c r="X55" s="139">
        <f t="shared" si="8"/>
        <v>12</v>
      </c>
      <c r="Y55" s="140" t="str">
        <f t="shared" si="9"/>
        <v>No</v>
      </c>
      <c r="Z55" s="141">
        <f t="shared" si="10"/>
        <v>1</v>
      </c>
      <c r="AB55" s="261" t="str">
        <f>IFERROR(VLOOKUP(C55,Tabla15[[Piloto]:[Puntos clase]],6, FALSE), " ")</f>
        <v>2RM</v>
      </c>
    </row>
    <row r="56" spans="2:28" ht="12.75" customHeight="1" x14ac:dyDescent="0.3">
      <c r="B56" s="133">
        <v>4</v>
      </c>
      <c r="C56" s="142" t="s">
        <v>624</v>
      </c>
      <c r="D56" s="482">
        <v>4</v>
      </c>
      <c r="E56" s="482">
        <v>2</v>
      </c>
      <c r="F56" s="135">
        <f>IFERROR(VLOOKUP(C56,'01_RS ALCARRIA'!$D$6:$M$36,10,FALSE),"")</f>
        <v>0</v>
      </c>
      <c r="G56" s="135">
        <f>IFERROR(VLOOKUP(C56,'01_RS ALCARRIA'!$D$6:$O$36,12,FALSE),"")</f>
        <v>5</v>
      </c>
      <c r="H56" s="138">
        <f t="shared" si="7"/>
        <v>10</v>
      </c>
      <c r="I56" s="135"/>
      <c r="J56" s="135"/>
      <c r="K56" s="138"/>
      <c r="L56" s="135"/>
      <c r="M56" s="135"/>
      <c r="N56" s="138"/>
      <c r="O56" s="135"/>
      <c r="P56" s="135"/>
      <c r="Q56" s="138"/>
      <c r="R56" s="135"/>
      <c r="S56" s="135"/>
      <c r="T56" s="138"/>
      <c r="U56" s="135"/>
      <c r="V56" s="135"/>
      <c r="W56" s="138"/>
      <c r="X56" s="139">
        <f t="shared" si="8"/>
        <v>10</v>
      </c>
      <c r="Y56" s="140" t="str">
        <f t="shared" si="9"/>
        <v>No</v>
      </c>
      <c r="Z56" s="141">
        <f t="shared" si="10"/>
        <v>1</v>
      </c>
      <c r="AB56" s="261" t="str">
        <f>IFERROR(VLOOKUP(C56,Tabla15[[Piloto]:[Puntos clase]],6, FALSE), " ")</f>
        <v>2RM</v>
      </c>
    </row>
    <row r="57" spans="2:28" ht="12.75" customHeight="1" x14ac:dyDescent="0.3">
      <c r="B57" s="133">
        <v>5</v>
      </c>
      <c r="C57" s="142" t="s">
        <v>601</v>
      </c>
      <c r="D57" s="482">
        <f>IFERROR(VLOOKUP(C57,Tabla15[[Piloto]:[Puntos clase]],7, FALSE), " ")</f>
        <v>3</v>
      </c>
      <c r="E57" s="482" t="str">
        <f>LEFT(AB57,LEN(AB57)-2)</f>
        <v>2</v>
      </c>
      <c r="F57" s="135">
        <f>IFERROR(VLOOKUP(C57,'01_RS ALCARRIA'!$D$6:$M$36,10,FALSE),"")</f>
        <v>1</v>
      </c>
      <c r="G57" s="135">
        <f>IFERROR(VLOOKUP(C57,'01_RS ALCARRIA'!$D$6:$O$36,12,FALSE),"")</f>
        <v>3</v>
      </c>
      <c r="H57" s="138">
        <f t="shared" si="7"/>
        <v>8</v>
      </c>
      <c r="I57" s="135"/>
      <c r="J57" s="135"/>
      <c r="K57" s="138"/>
      <c r="L57" s="135"/>
      <c r="M57" s="135"/>
      <c r="N57" s="138"/>
      <c r="O57" s="135"/>
      <c r="P57" s="135"/>
      <c r="Q57" s="138"/>
      <c r="R57" s="135"/>
      <c r="S57" s="135"/>
      <c r="T57" s="138"/>
      <c r="U57" s="135"/>
      <c r="V57" s="135"/>
      <c r="W57" s="138"/>
      <c r="X57" s="139">
        <f t="shared" si="8"/>
        <v>8</v>
      </c>
      <c r="Y57" s="140" t="str">
        <f t="shared" si="9"/>
        <v>No</v>
      </c>
      <c r="Z57" s="141">
        <f t="shared" si="10"/>
        <v>1</v>
      </c>
      <c r="AB57" s="261" t="str">
        <f>IFERROR(VLOOKUP(C57,Tabla15[[Piloto]:[Puntos clase]],6, FALSE), " ")</f>
        <v>2RM</v>
      </c>
    </row>
    <row r="58" spans="2:28" ht="12.75" customHeight="1" x14ac:dyDescent="0.3">
      <c r="B58" s="133">
        <v>6</v>
      </c>
      <c r="C58" s="142" t="s">
        <v>604</v>
      </c>
      <c r="D58" s="482">
        <f>IFERROR(VLOOKUP(C58,Tabla15[[Piloto]:[Puntos clase]],7, FALSE), " ")</f>
        <v>3</v>
      </c>
      <c r="E58" s="482" t="str">
        <f>LEFT(AB58,LEN(AB58)-2)</f>
        <v>2</v>
      </c>
      <c r="F58" s="135">
        <f>IFERROR(VLOOKUP(C58,'01_RS ALCARRIA'!$D$6:$M$36,10,FALSE),"")</f>
        <v>0</v>
      </c>
      <c r="G58" s="135">
        <f>IFERROR(VLOOKUP(C58,'01_RS ALCARRIA'!$D$6:$O$36,12,FALSE),"")</f>
        <v>1</v>
      </c>
      <c r="H58" s="138">
        <f t="shared" si="7"/>
        <v>2</v>
      </c>
      <c r="I58" s="135"/>
      <c r="J58" s="135"/>
      <c r="K58" s="138"/>
      <c r="L58" s="135"/>
      <c r="M58" s="135"/>
      <c r="N58" s="138"/>
      <c r="O58" s="135"/>
      <c r="P58" s="135"/>
      <c r="Q58" s="138"/>
      <c r="R58" s="135"/>
      <c r="S58" s="135"/>
      <c r="T58" s="138"/>
      <c r="U58" s="135"/>
      <c r="V58" s="135"/>
      <c r="W58" s="138"/>
      <c r="X58" s="139">
        <f t="shared" si="8"/>
        <v>2</v>
      </c>
      <c r="Y58" s="140" t="str">
        <f t="shared" si="9"/>
        <v>No</v>
      </c>
      <c r="Z58" s="141">
        <f t="shared" si="10"/>
        <v>1</v>
      </c>
      <c r="AB58" s="261" t="str">
        <f>IFERROR(VLOOKUP(C58,Tabla15[[Piloto]:[Puntos clase]],6, FALSE), " ")</f>
        <v>2RM</v>
      </c>
    </row>
    <row r="59" spans="2:28" ht="12.75" customHeight="1" x14ac:dyDescent="0.3">
      <c r="B59" s="133" t="s">
        <v>658</v>
      </c>
      <c r="C59" s="142" t="s">
        <v>606</v>
      </c>
      <c r="D59" s="482">
        <v>3</v>
      </c>
      <c r="E59" s="482">
        <v>2</v>
      </c>
      <c r="F59" s="135">
        <f>IFERROR(VLOOKUP(C59,'01_RS ALCARRIA'!$D$6:$M$36,10,FALSE),"")</f>
        <v>0</v>
      </c>
      <c r="G59" s="135">
        <f>IFERROR(VLOOKUP(C59,'01_RS ALCARRIA'!$D$6:$O$36,12,FALSE),"")</f>
        <v>0</v>
      </c>
      <c r="H59" s="138">
        <f t="shared" si="7"/>
        <v>0</v>
      </c>
      <c r="I59" s="135"/>
      <c r="J59" s="135"/>
      <c r="K59" s="138"/>
      <c r="L59" s="135"/>
      <c r="M59" s="135"/>
      <c r="N59" s="138"/>
      <c r="O59" s="135"/>
      <c r="P59" s="135"/>
      <c r="Q59" s="138"/>
      <c r="R59" s="135"/>
      <c r="S59" s="135"/>
      <c r="T59" s="138"/>
      <c r="U59" s="135"/>
      <c r="V59" s="135"/>
      <c r="W59" s="138"/>
      <c r="X59" s="139">
        <f t="shared" si="8"/>
        <v>0</v>
      </c>
      <c r="Y59" s="140" t="str">
        <f t="shared" si="9"/>
        <v>No</v>
      </c>
      <c r="Z59" s="141">
        <f t="shared" si="10"/>
        <v>1</v>
      </c>
      <c r="AB59" s="261" t="str">
        <f>IFERROR(VLOOKUP(C59,Tabla15[[Piloto]:[Puntos clase]],6, FALSE), " ")</f>
        <v>2RM</v>
      </c>
    </row>
    <row r="60" spans="2:28" ht="12.75" customHeight="1" x14ac:dyDescent="0.3">
      <c r="B60" s="133" t="s">
        <v>658</v>
      </c>
      <c r="C60" s="142" t="s">
        <v>607</v>
      </c>
      <c r="D60" s="482">
        <f>IFERROR(VLOOKUP(C60,Tabla15[[Piloto]:[Puntos clase]],7, FALSE), " ")</f>
        <v>3</v>
      </c>
      <c r="E60" s="482" t="str">
        <f t="shared" ref="E60:E66" si="12">LEFT(AB60,LEN(AB60)-2)</f>
        <v>2</v>
      </c>
      <c r="F60" s="135">
        <f>IFERROR(VLOOKUP(C60,'01_RS ALCARRIA'!$D$6:$M$36,10,FALSE),"")</f>
        <v>0</v>
      </c>
      <c r="G60" s="135">
        <f>IFERROR(VLOOKUP(C60,'01_RS ALCARRIA'!$D$6:$O$36,12,FALSE),"")</f>
        <v>0</v>
      </c>
      <c r="H60" s="138">
        <f t="shared" si="7"/>
        <v>0</v>
      </c>
      <c r="I60" s="135"/>
      <c r="J60" s="135"/>
      <c r="K60" s="138"/>
      <c r="L60" s="135"/>
      <c r="M60" s="135"/>
      <c r="N60" s="138"/>
      <c r="O60" s="135"/>
      <c r="P60" s="135"/>
      <c r="Q60" s="138"/>
      <c r="R60" s="135"/>
      <c r="S60" s="135"/>
      <c r="T60" s="138"/>
      <c r="U60" s="135"/>
      <c r="V60" s="135"/>
      <c r="W60" s="138"/>
      <c r="X60" s="139">
        <f t="shared" si="8"/>
        <v>0</v>
      </c>
      <c r="Y60" s="140" t="str">
        <f t="shared" si="9"/>
        <v>No</v>
      </c>
      <c r="Z60" s="141">
        <f t="shared" si="10"/>
        <v>1</v>
      </c>
      <c r="AB60" s="261" t="str">
        <f>IFERROR(VLOOKUP(C60,Tabla15[[Piloto]:[Puntos clase]],6, FALSE), " ")</f>
        <v>2RM</v>
      </c>
    </row>
    <row r="61" spans="2:28" ht="12.75" customHeight="1" x14ac:dyDescent="0.3">
      <c r="B61" s="133" t="s">
        <v>658</v>
      </c>
      <c r="C61" s="134" t="s">
        <v>610</v>
      </c>
      <c r="D61" s="482">
        <f>IFERROR(VLOOKUP(C61,Tabla15[[Piloto]:[Puntos clase]],7, FALSE), " ")</f>
        <v>3</v>
      </c>
      <c r="E61" s="482" t="str">
        <f t="shared" si="12"/>
        <v>2</v>
      </c>
      <c r="F61" s="135">
        <f>IFERROR(VLOOKUP(C61,'01_RS ALCARRIA'!$D$6:$M$36,10,FALSE),"")</f>
        <v>0</v>
      </c>
      <c r="G61" s="135">
        <f>IFERROR(VLOOKUP(C61,'01_RS ALCARRIA'!$D$6:$O$36,12,FALSE),"")</f>
        <v>0</v>
      </c>
      <c r="H61" s="138">
        <f t="shared" si="7"/>
        <v>0</v>
      </c>
      <c r="I61" s="135"/>
      <c r="J61" s="135"/>
      <c r="K61" s="138"/>
      <c r="L61" s="135"/>
      <c r="M61" s="135"/>
      <c r="N61" s="138"/>
      <c r="O61" s="135"/>
      <c r="P61" s="135"/>
      <c r="Q61" s="138"/>
      <c r="R61" s="135"/>
      <c r="S61" s="135"/>
      <c r="T61" s="138"/>
      <c r="U61" s="135"/>
      <c r="V61" s="135"/>
      <c r="W61" s="138"/>
      <c r="X61" s="139">
        <f t="shared" si="8"/>
        <v>0</v>
      </c>
      <c r="Y61" s="140" t="str">
        <f t="shared" si="9"/>
        <v>No</v>
      </c>
      <c r="Z61" s="141">
        <f t="shared" si="10"/>
        <v>1</v>
      </c>
      <c r="AB61" s="261" t="str">
        <f>IFERROR(VLOOKUP(C61,Tabla15[[Piloto]:[Puntos clase]],6, FALSE), " ")</f>
        <v>2RM</v>
      </c>
    </row>
    <row r="62" spans="2:28" ht="12.75" customHeight="1" x14ac:dyDescent="0.3">
      <c r="B62" s="133" t="s">
        <v>658</v>
      </c>
      <c r="C62" s="142" t="s">
        <v>319</v>
      </c>
      <c r="D62" s="482">
        <f>IFERROR(VLOOKUP(C62,Tabla15[[Piloto]:[Puntos clase]],7, FALSE), " ")</f>
        <v>3</v>
      </c>
      <c r="E62" s="482" t="str">
        <f t="shared" si="12"/>
        <v>2</v>
      </c>
      <c r="F62" s="135">
        <f>IFERROR(VLOOKUP(C62,'01_RS ALCARRIA'!$D$6:$M$36,10,FALSE),"")</f>
        <v>0</v>
      </c>
      <c r="G62" s="135">
        <f>IFERROR(VLOOKUP(C62,'01_RS ALCARRIA'!$D$6:$O$36,12,FALSE),"")</f>
        <v>0</v>
      </c>
      <c r="H62" s="138">
        <f t="shared" si="7"/>
        <v>0</v>
      </c>
      <c r="I62" s="135"/>
      <c r="J62" s="135"/>
      <c r="K62" s="138"/>
      <c r="L62" s="135"/>
      <c r="M62" s="135"/>
      <c r="N62" s="138"/>
      <c r="O62" s="135"/>
      <c r="P62" s="135"/>
      <c r="Q62" s="138"/>
      <c r="R62" s="135"/>
      <c r="S62" s="135"/>
      <c r="T62" s="138"/>
      <c r="U62" s="135"/>
      <c r="V62" s="135"/>
      <c r="W62" s="138"/>
      <c r="X62" s="139">
        <f t="shared" si="8"/>
        <v>0</v>
      </c>
      <c r="Y62" s="140" t="str">
        <f t="shared" si="9"/>
        <v>No</v>
      </c>
      <c r="Z62" s="141">
        <f t="shared" si="10"/>
        <v>1</v>
      </c>
      <c r="AB62" s="261" t="str">
        <f>IFERROR(VLOOKUP(C62,Tabla15[[Piloto]:[Puntos clase]],6, FALSE), " ")</f>
        <v>2RM</v>
      </c>
    </row>
    <row r="63" spans="2:28" ht="12.75" customHeight="1" x14ac:dyDescent="0.3">
      <c r="B63" s="133" t="s">
        <v>658</v>
      </c>
      <c r="C63" s="142" t="s">
        <v>619</v>
      </c>
      <c r="D63" s="482">
        <f>IFERROR(VLOOKUP(C63,Tabla15[[Piloto]:[Puntos clase]],7, FALSE), " ")</f>
        <v>3</v>
      </c>
      <c r="E63" s="482" t="str">
        <f t="shared" si="12"/>
        <v>2</v>
      </c>
      <c r="F63" s="135">
        <f>IFERROR(VLOOKUP(C63,'01_RS ALCARRIA'!$D$6:$M$36,10,FALSE),"")</f>
        <v>0</v>
      </c>
      <c r="G63" s="135">
        <f>IFERROR(VLOOKUP(C63,'01_RS ALCARRIA'!$D$6:$O$36,12,FALSE),"")</f>
        <v>0</v>
      </c>
      <c r="H63" s="138">
        <f t="shared" si="7"/>
        <v>0</v>
      </c>
      <c r="I63" s="135"/>
      <c r="J63" s="135"/>
      <c r="K63" s="138"/>
      <c r="L63" s="135"/>
      <c r="M63" s="135"/>
      <c r="N63" s="138"/>
      <c r="O63" s="135"/>
      <c r="P63" s="135"/>
      <c r="Q63" s="138"/>
      <c r="R63" s="135"/>
      <c r="S63" s="135"/>
      <c r="T63" s="138"/>
      <c r="U63" s="135"/>
      <c r="V63" s="135"/>
      <c r="W63" s="138"/>
      <c r="X63" s="139">
        <f t="shared" si="8"/>
        <v>0</v>
      </c>
      <c r="Y63" s="140" t="str">
        <f t="shared" si="9"/>
        <v>No</v>
      </c>
      <c r="Z63" s="141">
        <f t="shared" si="10"/>
        <v>1</v>
      </c>
      <c r="AB63" s="261" t="str">
        <f>IFERROR(VLOOKUP(C63,Tabla15[[Piloto]:[Puntos clase]],6, FALSE), " ")</f>
        <v>2RM</v>
      </c>
    </row>
    <row r="64" spans="2:28" ht="12.75" customHeight="1" x14ac:dyDescent="0.3">
      <c r="B64" s="133" t="s">
        <v>658</v>
      </c>
      <c r="C64" s="142" t="s">
        <v>626</v>
      </c>
      <c r="D64" s="482">
        <f>IFERROR(VLOOKUP(C64,Tabla15[[Piloto]:[Puntos clase]],7, FALSE), " ")</f>
        <v>5</v>
      </c>
      <c r="E64" s="482" t="str">
        <f t="shared" si="12"/>
        <v>4</v>
      </c>
      <c r="F64" s="135">
        <v>0</v>
      </c>
      <c r="G64" s="135">
        <v>0</v>
      </c>
      <c r="H64" s="138">
        <f t="shared" ref="H64:H69" si="13">(F64+G64)</f>
        <v>0</v>
      </c>
      <c r="I64" s="135"/>
      <c r="J64" s="135"/>
      <c r="K64" s="138"/>
      <c r="L64" s="135"/>
      <c r="M64" s="135"/>
      <c r="N64" s="138"/>
      <c r="O64" s="135"/>
      <c r="P64" s="135"/>
      <c r="Q64" s="138"/>
      <c r="R64" s="135"/>
      <c r="S64" s="135"/>
      <c r="T64" s="138"/>
      <c r="U64" s="135"/>
      <c r="V64" s="135"/>
      <c r="W64" s="138"/>
      <c r="X64" s="139">
        <f t="shared" si="8"/>
        <v>0</v>
      </c>
      <c r="Y64" s="140" t="str">
        <f t="shared" si="9"/>
        <v>No</v>
      </c>
      <c r="Z64" s="141">
        <f t="shared" si="10"/>
        <v>1</v>
      </c>
      <c r="AB64" s="261" t="str">
        <f>IFERROR(VLOOKUP(C64,Tabla15[[Piloto]:[Puntos clase]],6, FALSE), " ")</f>
        <v>4RM</v>
      </c>
    </row>
    <row r="65" spans="2:29" ht="12.75" customHeight="1" x14ac:dyDescent="0.3">
      <c r="B65" s="133" t="s">
        <v>658</v>
      </c>
      <c r="C65" s="142" t="s">
        <v>628</v>
      </c>
      <c r="D65" s="482">
        <f>IFERROR(VLOOKUP(C65,Tabla15[[Piloto]:[Puntos clase]],7, FALSE), " ")</f>
        <v>2</v>
      </c>
      <c r="E65" s="482" t="str">
        <f t="shared" si="12"/>
        <v>2</v>
      </c>
      <c r="F65" s="135">
        <v>0</v>
      </c>
      <c r="G65" s="135">
        <v>0</v>
      </c>
      <c r="H65" s="138">
        <f t="shared" si="13"/>
        <v>0</v>
      </c>
      <c r="I65" s="135"/>
      <c r="J65" s="135"/>
      <c r="K65" s="138"/>
      <c r="L65" s="135"/>
      <c r="M65" s="135"/>
      <c r="N65" s="138"/>
      <c r="O65" s="135"/>
      <c r="P65" s="135"/>
      <c r="Q65" s="138"/>
      <c r="R65" s="135"/>
      <c r="S65" s="135"/>
      <c r="T65" s="138"/>
      <c r="U65" s="135"/>
      <c r="V65" s="135"/>
      <c r="W65" s="138"/>
      <c r="X65" s="139">
        <f t="shared" si="8"/>
        <v>0</v>
      </c>
      <c r="Y65" s="140" t="str">
        <f t="shared" si="9"/>
        <v>No</v>
      </c>
      <c r="Z65" s="141">
        <f t="shared" si="10"/>
        <v>1</v>
      </c>
      <c r="AB65" s="261" t="str">
        <f>IFERROR(VLOOKUP(C65,Tabla15[[Piloto]:[Puntos clase]],6, FALSE), " ")</f>
        <v>2RM</v>
      </c>
    </row>
    <row r="66" spans="2:29" ht="12.75" customHeight="1" x14ac:dyDescent="0.3">
      <c r="B66" s="133" t="s">
        <v>658</v>
      </c>
      <c r="C66" s="142" t="s">
        <v>408</v>
      </c>
      <c r="D66" s="482">
        <f>IFERROR(VLOOKUP(C66,Tabla15[[Piloto]:[Puntos clase]],7, FALSE), " ")</f>
        <v>5</v>
      </c>
      <c r="E66" s="482" t="str">
        <f t="shared" si="12"/>
        <v>2</v>
      </c>
      <c r="F66" s="135">
        <v>0</v>
      </c>
      <c r="G66" s="135">
        <v>0</v>
      </c>
      <c r="H66" s="138">
        <f t="shared" si="13"/>
        <v>0</v>
      </c>
      <c r="I66" s="135"/>
      <c r="J66" s="135"/>
      <c r="K66" s="138"/>
      <c r="L66" s="135"/>
      <c r="M66" s="135"/>
      <c r="N66" s="138"/>
      <c r="O66" s="135"/>
      <c r="P66" s="135"/>
      <c r="Q66" s="138"/>
      <c r="R66" s="135"/>
      <c r="S66" s="135"/>
      <c r="T66" s="138"/>
      <c r="U66" s="135"/>
      <c r="V66" s="135"/>
      <c r="W66" s="138"/>
      <c r="X66" s="139">
        <f t="shared" si="8"/>
        <v>0</v>
      </c>
      <c r="Y66" s="140" t="str">
        <f t="shared" si="9"/>
        <v>No</v>
      </c>
      <c r="Z66" s="141">
        <f t="shared" si="10"/>
        <v>1</v>
      </c>
      <c r="AB66" s="261" t="str">
        <f>IFERROR(VLOOKUP(C66,Tabla15[[Piloto]:[Puntos clase]],6, FALSE), " ")</f>
        <v>2RM</v>
      </c>
    </row>
    <row r="67" spans="2:29" ht="12.75" customHeight="1" x14ac:dyDescent="0.3">
      <c r="B67" s="133" t="s">
        <v>658</v>
      </c>
      <c r="C67" s="142" t="s">
        <v>632</v>
      </c>
      <c r="D67" s="482">
        <v>3</v>
      </c>
      <c r="E67" s="482">
        <v>2</v>
      </c>
      <c r="F67" s="135">
        <v>0</v>
      </c>
      <c r="G67" s="135">
        <v>0</v>
      </c>
      <c r="H67" s="138">
        <f t="shared" si="13"/>
        <v>0</v>
      </c>
      <c r="I67" s="135"/>
      <c r="J67" s="135"/>
      <c r="K67" s="138"/>
      <c r="L67" s="135"/>
      <c r="M67" s="135"/>
      <c r="N67" s="138"/>
      <c r="O67" s="135"/>
      <c r="P67" s="135"/>
      <c r="Q67" s="138"/>
      <c r="R67" s="135"/>
      <c r="S67" s="135"/>
      <c r="T67" s="138"/>
      <c r="U67" s="135"/>
      <c r="V67" s="135"/>
      <c r="W67" s="138"/>
      <c r="X67" s="139">
        <f t="shared" si="8"/>
        <v>0</v>
      </c>
      <c r="Y67" s="140" t="str">
        <f t="shared" si="9"/>
        <v>No</v>
      </c>
      <c r="Z67" s="141">
        <f t="shared" si="10"/>
        <v>1</v>
      </c>
      <c r="AB67" s="261" t="str">
        <f>IFERROR(VLOOKUP(C67,Tabla15[[Piloto]:[Puntos clase]],6, FALSE), " ")</f>
        <v>2RM</v>
      </c>
    </row>
    <row r="68" spans="2:29" ht="12.75" customHeight="1" x14ac:dyDescent="0.3">
      <c r="B68" s="133" t="s">
        <v>658</v>
      </c>
      <c r="C68" s="142" t="s">
        <v>635</v>
      </c>
      <c r="D68" s="482">
        <f>IFERROR(VLOOKUP(C68,Tabla15[[Piloto]:[Puntos clase]],7, FALSE), " ")</f>
        <v>5</v>
      </c>
      <c r="E68" s="482">
        <v>2</v>
      </c>
      <c r="F68" s="135">
        <v>0</v>
      </c>
      <c r="G68" s="135">
        <v>0</v>
      </c>
      <c r="H68" s="138">
        <f t="shared" si="13"/>
        <v>0</v>
      </c>
      <c r="I68" s="135"/>
      <c r="J68" s="135"/>
      <c r="K68" s="138"/>
      <c r="L68" s="135"/>
      <c r="M68" s="135"/>
      <c r="N68" s="138"/>
      <c r="O68" s="135"/>
      <c r="P68" s="135"/>
      <c r="Q68" s="138"/>
      <c r="R68" s="135"/>
      <c r="S68" s="135"/>
      <c r="T68" s="138"/>
      <c r="U68" s="135"/>
      <c r="V68" s="135"/>
      <c r="W68" s="138"/>
      <c r="X68" s="139">
        <f t="shared" si="8"/>
        <v>0</v>
      </c>
      <c r="Y68" s="140" t="str">
        <f t="shared" si="9"/>
        <v>No</v>
      </c>
      <c r="Z68" s="141">
        <f t="shared" si="10"/>
        <v>1</v>
      </c>
      <c r="AB68" s="261" t="str">
        <f>IFERROR(VLOOKUP(C68,Tabla15[[Piloto]:[Puntos clase]],6, FALSE), " ")</f>
        <v>2RM</v>
      </c>
    </row>
    <row r="69" spans="2:29" ht="12.75" customHeight="1" x14ac:dyDescent="0.3">
      <c r="B69" s="133" t="s">
        <v>658</v>
      </c>
      <c r="C69" s="142" t="s">
        <v>637</v>
      </c>
      <c r="D69" s="482">
        <f>IFERROR(VLOOKUP(C69,Tabla15[[Piloto]:[Puntos clase]],7, FALSE), " ")</f>
        <v>4</v>
      </c>
      <c r="E69" s="482">
        <v>2</v>
      </c>
      <c r="F69" s="135">
        <v>0</v>
      </c>
      <c r="G69" s="135">
        <v>0</v>
      </c>
      <c r="H69" s="138">
        <f t="shared" si="13"/>
        <v>0</v>
      </c>
      <c r="I69" s="135"/>
      <c r="J69" s="135"/>
      <c r="K69" s="138"/>
      <c r="L69" s="135"/>
      <c r="M69" s="135"/>
      <c r="N69" s="138"/>
      <c r="O69" s="135"/>
      <c r="P69" s="135"/>
      <c r="Q69" s="138"/>
      <c r="R69" s="135"/>
      <c r="S69" s="135"/>
      <c r="T69" s="138"/>
      <c r="U69" s="135"/>
      <c r="V69" s="135"/>
      <c r="W69" s="138"/>
      <c r="X69" s="139">
        <f t="shared" si="8"/>
        <v>0</v>
      </c>
      <c r="Y69" s="140" t="str">
        <f t="shared" si="9"/>
        <v>No</v>
      </c>
      <c r="Z69" s="141">
        <f t="shared" si="10"/>
        <v>1</v>
      </c>
      <c r="AB69" s="261" t="str">
        <f>IFERROR(VLOOKUP(C69,Tabla15[[Piloto]:[Puntos clase]],6, FALSE), " ")</f>
        <v>2RM</v>
      </c>
    </row>
    <row r="70" spans="2:29" ht="12.75" customHeight="1" x14ac:dyDescent="0.3">
      <c r="B70" s="144"/>
      <c r="C70" s="145"/>
      <c r="D70" s="146"/>
      <c r="E70" s="146"/>
      <c r="F70" s="146"/>
      <c r="G70" s="146"/>
      <c r="H70" s="146"/>
      <c r="I70" s="146"/>
      <c r="J70" s="146"/>
      <c r="K70" s="146"/>
      <c r="L70" s="146"/>
      <c r="M70" s="146"/>
      <c r="N70" s="146"/>
      <c r="O70" s="146"/>
      <c r="P70" s="146"/>
      <c r="Q70" s="146"/>
      <c r="R70" s="146"/>
      <c r="S70" s="146"/>
      <c r="T70" s="146"/>
      <c r="U70" s="146"/>
      <c r="V70" s="146"/>
      <c r="W70" s="146"/>
      <c r="X70" s="146"/>
      <c r="Y70" s="143"/>
      <c r="Z70" s="147"/>
      <c r="AA70" s="148"/>
      <c r="AB70" s="262"/>
    </row>
    <row r="71" spans="2:29" ht="12" x14ac:dyDescent="0.3">
      <c r="B71" s="144"/>
      <c r="C71" s="235" t="s">
        <v>5</v>
      </c>
      <c r="D71" s="228" t="s">
        <v>6</v>
      </c>
      <c r="E71" s="146"/>
      <c r="F71" s="146"/>
      <c r="G71" s="146"/>
      <c r="H71" s="146"/>
      <c r="I71" s="146"/>
      <c r="J71" s="146"/>
      <c r="K71" s="146"/>
      <c r="L71" s="146"/>
      <c r="M71" s="146"/>
      <c r="N71" s="146"/>
      <c r="O71" s="146"/>
      <c r="P71" s="146"/>
      <c r="Q71" s="146"/>
      <c r="R71" s="146"/>
      <c r="S71" s="146"/>
      <c r="T71" s="146"/>
      <c r="U71" s="146"/>
      <c r="V71" s="146"/>
      <c r="W71" s="146"/>
      <c r="X71" s="146"/>
      <c r="Y71" s="149"/>
      <c r="Z71" s="147"/>
      <c r="AA71" s="148"/>
      <c r="AB71" s="262"/>
    </row>
    <row r="72" spans="2:29" ht="3.75" customHeight="1" thickBot="1" x14ac:dyDescent="0.35">
      <c r="B72" s="1"/>
      <c r="C72" s="235"/>
      <c r="D72" s="146"/>
      <c r="E72" s="120"/>
      <c r="F72" s="2"/>
      <c r="G72" s="2"/>
      <c r="H72" s="3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5"/>
      <c r="AC72" s="2"/>
    </row>
    <row r="73" spans="2:29" ht="12.75" customHeight="1" thickBot="1" x14ac:dyDescent="0.35">
      <c r="B73" s="1"/>
      <c r="C73" s="235" t="s">
        <v>7</v>
      </c>
      <c r="D73" s="233">
        <v>2</v>
      </c>
      <c r="E73" s="120"/>
      <c r="F73" s="147"/>
      <c r="G73" s="147"/>
      <c r="H73" s="147"/>
      <c r="I73" s="147"/>
      <c r="J73" s="147"/>
      <c r="K73" s="147"/>
      <c r="L73" s="147"/>
      <c r="M73" s="147"/>
      <c r="N73" s="147"/>
      <c r="O73" s="147"/>
      <c r="P73" s="147"/>
      <c r="Q73" s="147"/>
      <c r="R73" s="147"/>
      <c r="S73" s="147"/>
      <c r="T73" s="147"/>
      <c r="U73" s="147"/>
      <c r="V73" s="147"/>
      <c r="W73" s="147"/>
      <c r="X73" s="147"/>
      <c r="Y73" s="147"/>
      <c r="Z73" s="147"/>
      <c r="AA73" s="148"/>
      <c r="AB73" s="262"/>
    </row>
    <row r="74" spans="2:29" ht="3.75" customHeight="1" x14ac:dyDescent="0.3">
      <c r="B74" s="1"/>
      <c r="C74" s="235"/>
      <c r="D74" s="146"/>
      <c r="E74" s="120"/>
      <c r="F74" s="2"/>
      <c r="G74" s="2"/>
      <c r="H74" s="3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5"/>
      <c r="AC74" s="2"/>
    </row>
    <row r="75" spans="2:29" ht="12.75" customHeight="1" x14ac:dyDescent="0.3">
      <c r="B75" s="1"/>
      <c r="C75" s="235"/>
      <c r="D75" s="284"/>
      <c r="E75" s="285" t="s">
        <v>534</v>
      </c>
      <c r="F75" s="147"/>
      <c r="G75" s="147"/>
      <c r="H75" s="147"/>
      <c r="I75" s="147"/>
      <c r="J75" s="147"/>
      <c r="K75" s="147"/>
      <c r="L75" s="147"/>
      <c r="M75" s="147"/>
      <c r="N75" s="147"/>
      <c r="O75" s="147"/>
      <c r="P75" s="147"/>
      <c r="Q75" s="147"/>
      <c r="R75" s="147"/>
      <c r="S75" s="147"/>
      <c r="T75" s="147"/>
      <c r="U75" s="147"/>
      <c r="V75" s="147"/>
      <c r="W75" s="147"/>
      <c r="X75" s="147"/>
      <c r="Y75" s="147"/>
      <c r="Z75" s="147"/>
      <c r="AA75" s="148"/>
      <c r="AB75" s="262"/>
    </row>
    <row r="76" spans="2:29" ht="3.75" customHeight="1" x14ac:dyDescent="0.3">
      <c r="B76" s="1"/>
      <c r="C76" s="235"/>
      <c r="D76" s="239"/>
      <c r="E76" s="120"/>
      <c r="F76" s="147"/>
      <c r="G76" s="147"/>
      <c r="H76" s="147"/>
      <c r="I76" s="147"/>
      <c r="J76" s="147"/>
      <c r="K76" s="147"/>
      <c r="L76" s="147"/>
      <c r="M76" s="147"/>
      <c r="N76" s="147"/>
      <c r="O76" s="147"/>
      <c r="P76" s="147"/>
      <c r="Q76" s="147"/>
      <c r="R76" s="147"/>
      <c r="S76" s="147"/>
      <c r="T76" s="147"/>
      <c r="U76" s="147"/>
      <c r="V76" s="147"/>
      <c r="W76" s="147"/>
      <c r="X76" s="147"/>
      <c r="Y76" s="147"/>
      <c r="Z76" s="147"/>
      <c r="AA76" s="148"/>
      <c r="AB76" s="262"/>
    </row>
    <row r="77" spans="2:29" ht="13.5" customHeight="1" x14ac:dyDescent="0.3">
      <c r="B77" s="1"/>
      <c r="C77" s="236" t="s">
        <v>510</v>
      </c>
      <c r="D77" s="237" t="s">
        <v>273</v>
      </c>
      <c r="E77" s="238"/>
      <c r="F77" s="147"/>
      <c r="G77" s="147"/>
      <c r="H77" s="147"/>
      <c r="I77" s="147"/>
      <c r="J77" s="147"/>
      <c r="K77" s="147"/>
      <c r="L77" s="147"/>
      <c r="M77" s="147"/>
      <c r="N77" s="147"/>
      <c r="O77" s="147"/>
      <c r="P77" s="147"/>
      <c r="Q77" s="147"/>
      <c r="R77" s="147"/>
      <c r="S77" s="147"/>
      <c r="T77" s="147"/>
      <c r="U77" s="147"/>
      <c r="V77" s="147"/>
      <c r="W77" s="147"/>
      <c r="X77" s="147"/>
      <c r="Y77" s="147"/>
      <c r="Z77" s="147"/>
      <c r="AA77" s="148"/>
      <c r="AB77" s="262"/>
    </row>
    <row r="78" spans="2:29" ht="13.5" customHeight="1" x14ac:dyDescent="0.3">
      <c r="B78" s="1"/>
      <c r="C78" s="236"/>
      <c r="D78" s="155"/>
      <c r="E78" s="155"/>
      <c r="F78" s="147"/>
      <c r="G78" s="147"/>
      <c r="H78" s="147"/>
      <c r="I78" s="147"/>
      <c r="J78" s="147"/>
      <c r="K78" s="147"/>
      <c r="L78" s="147"/>
      <c r="M78" s="147"/>
      <c r="N78" s="147"/>
      <c r="O78" s="147"/>
      <c r="P78" s="147"/>
      <c r="Q78" s="147"/>
      <c r="R78" s="147"/>
      <c r="S78" s="147"/>
      <c r="T78" s="147"/>
      <c r="U78" s="147"/>
      <c r="V78" s="147"/>
      <c r="W78" s="147"/>
      <c r="X78" s="147"/>
      <c r="Y78" s="147"/>
      <c r="Z78" s="147"/>
      <c r="AA78" s="148"/>
      <c r="AB78" s="262"/>
    </row>
    <row r="79" spans="2:29" ht="39" customHeight="1" x14ac:dyDescent="0.55000000000000004">
      <c r="B79" s="164" t="s">
        <v>516</v>
      </c>
      <c r="C79" s="165"/>
      <c r="D79" s="165"/>
      <c r="E79" s="165"/>
      <c r="F79" s="165"/>
      <c r="G79" s="165"/>
      <c r="H79" s="165"/>
      <c r="I79" s="165"/>
      <c r="J79" s="165"/>
      <c r="K79" s="165"/>
      <c r="L79" s="165"/>
      <c r="M79" s="165"/>
      <c r="N79" s="165"/>
      <c r="O79" s="165"/>
      <c r="P79" s="165"/>
      <c r="Q79" s="165"/>
      <c r="R79" s="165"/>
      <c r="S79" s="165"/>
      <c r="T79" s="165"/>
      <c r="U79" s="165"/>
      <c r="V79" s="165"/>
      <c r="W79" s="165"/>
      <c r="X79" s="165"/>
    </row>
    <row r="80" spans="2:29" ht="37.5" customHeight="1" x14ac:dyDescent="0.3">
      <c r="B80" s="166" t="s">
        <v>338</v>
      </c>
      <c r="C80" s="167"/>
      <c r="D80" s="167"/>
      <c r="E80" s="167"/>
      <c r="F80" s="167"/>
      <c r="G80" s="167"/>
      <c r="H80" s="167"/>
      <c r="I80" s="167"/>
      <c r="J80" s="167"/>
      <c r="K80" s="167"/>
      <c r="L80" s="167"/>
      <c r="M80" s="167"/>
      <c r="N80" s="167"/>
      <c r="O80" s="167"/>
      <c r="P80" s="167"/>
      <c r="Q80" s="167"/>
      <c r="R80" s="167"/>
      <c r="S80" s="167"/>
      <c r="T80" s="167"/>
      <c r="U80" s="167"/>
      <c r="V80" s="167"/>
      <c r="W80" s="167"/>
      <c r="X80" s="167"/>
      <c r="Y80" s="30"/>
      <c r="Z80" s="30"/>
    </row>
    <row r="81" spans="2:35" ht="12.75" customHeight="1" x14ac:dyDescent="0.3">
      <c r="B81" s="162"/>
      <c r="C81" s="168"/>
      <c r="D81" s="161"/>
      <c r="E81" s="161"/>
      <c r="F81" s="222" t="s">
        <v>220</v>
      </c>
      <c r="G81" s="223"/>
      <c r="H81" s="224"/>
      <c r="I81" s="222" t="s">
        <v>663</v>
      </c>
      <c r="J81" s="225"/>
      <c r="K81" s="226"/>
      <c r="L81" s="222" t="s">
        <v>532</v>
      </c>
      <c r="M81" s="225"/>
      <c r="N81" s="226"/>
      <c r="O81" s="222" t="s">
        <v>526</v>
      </c>
      <c r="P81" s="225"/>
      <c r="Q81" s="226"/>
      <c r="R81" s="222" t="s">
        <v>287</v>
      </c>
      <c r="S81" s="225"/>
      <c r="T81" s="226"/>
      <c r="U81" s="413" t="s">
        <v>527</v>
      </c>
      <c r="V81" s="226"/>
      <c r="W81" s="226"/>
      <c r="X81" s="161" t="s">
        <v>213</v>
      </c>
      <c r="Y81" s="30"/>
      <c r="Z81" s="30"/>
    </row>
    <row r="82" spans="2:35" ht="12.75" customHeight="1" x14ac:dyDescent="0.3">
      <c r="B82" s="159" t="s">
        <v>0</v>
      </c>
      <c r="C82" s="170" t="s">
        <v>166</v>
      </c>
      <c r="D82" s="160" t="s">
        <v>2</v>
      </c>
      <c r="E82" s="160" t="s">
        <v>3</v>
      </c>
      <c r="F82" s="217" t="s">
        <v>523</v>
      </c>
      <c r="G82" s="218"/>
      <c r="H82" s="219"/>
      <c r="I82" s="217" t="s">
        <v>525</v>
      </c>
      <c r="J82" s="220"/>
      <c r="K82" s="221"/>
      <c r="L82" s="217" t="s">
        <v>664</v>
      </c>
      <c r="M82" s="220"/>
      <c r="N82" s="221"/>
      <c r="O82" s="217" t="s">
        <v>529</v>
      </c>
      <c r="P82" s="220"/>
      <c r="Q82" s="221"/>
      <c r="R82" s="217" t="s">
        <v>530</v>
      </c>
      <c r="S82" s="220"/>
      <c r="T82" s="221"/>
      <c r="U82" s="414" t="s">
        <v>528</v>
      </c>
      <c r="V82" s="255"/>
      <c r="W82" s="415"/>
      <c r="X82" s="160" t="s">
        <v>9</v>
      </c>
      <c r="Y82" s="519" t="s">
        <v>223</v>
      </c>
      <c r="Z82" s="521" t="s">
        <v>4</v>
      </c>
    </row>
    <row r="83" spans="2:35" ht="12.75" customHeight="1" thickBot="1" x14ac:dyDescent="0.35">
      <c r="B83" s="163"/>
      <c r="C83" s="169"/>
      <c r="D83" s="157"/>
      <c r="E83" s="476"/>
      <c r="F83" s="131" t="s">
        <v>33</v>
      </c>
      <c r="G83" s="131" t="s">
        <v>34</v>
      </c>
      <c r="H83" s="132" t="s">
        <v>35</v>
      </c>
      <c r="I83" s="131" t="s">
        <v>33</v>
      </c>
      <c r="J83" s="131" t="s">
        <v>34</v>
      </c>
      <c r="K83" s="132" t="s">
        <v>35</v>
      </c>
      <c r="L83" s="131" t="s">
        <v>33</v>
      </c>
      <c r="M83" s="131" t="s">
        <v>34</v>
      </c>
      <c r="N83" s="132" t="s">
        <v>35</v>
      </c>
      <c r="O83" s="131" t="s">
        <v>33</v>
      </c>
      <c r="P83" s="131" t="s">
        <v>34</v>
      </c>
      <c r="Q83" s="132" t="s">
        <v>35</v>
      </c>
      <c r="R83" s="131" t="s">
        <v>33</v>
      </c>
      <c r="S83" s="131" t="s">
        <v>34</v>
      </c>
      <c r="T83" s="132" t="s">
        <v>35</v>
      </c>
      <c r="U83" s="131" t="s">
        <v>33</v>
      </c>
      <c r="V83" s="131" t="s">
        <v>34</v>
      </c>
      <c r="W83" s="132" t="s">
        <v>35</v>
      </c>
      <c r="X83" s="157"/>
      <c r="Y83" s="520"/>
      <c r="Z83" s="522"/>
    </row>
    <row r="84" spans="2:35" ht="12.75" customHeight="1" thickBot="1" x14ac:dyDescent="0.35">
      <c r="B84" s="133">
        <v>1</v>
      </c>
      <c r="C84" s="142" t="s">
        <v>575</v>
      </c>
      <c r="D84" s="481">
        <v>2</v>
      </c>
      <c r="E84" s="477" t="str">
        <f t="shared" ref="E84:E101" si="14">LEFT(AB84,LEN(AB84)-2)</f>
        <v>2</v>
      </c>
      <c r="F84" s="475">
        <f>IFERROR(VLOOKUP(C84,'01_RS ALCARRIA'!$F$6:$R$36,13,FALSE),"")</f>
        <v>25</v>
      </c>
      <c r="G84" s="135">
        <f>IFERROR(VLOOKUP(C84,'01_RS ALCARRIA'!$F$6:$T$36,15,FALSE),"")</f>
        <v>10</v>
      </c>
      <c r="H84" s="138">
        <f t="shared" ref="H84:H98" si="15">(F84+G84)*2</f>
        <v>70</v>
      </c>
      <c r="I84" s="135"/>
      <c r="J84" s="135"/>
      <c r="K84" s="138"/>
      <c r="L84" s="135"/>
      <c r="M84" s="135"/>
      <c r="N84" s="138"/>
      <c r="O84" s="135"/>
      <c r="P84" s="135"/>
      <c r="Q84" s="138"/>
      <c r="R84" s="135"/>
      <c r="S84" s="135"/>
      <c r="T84" s="138"/>
      <c r="U84" s="135"/>
      <c r="V84" s="135"/>
      <c r="W84" s="138"/>
      <c r="X84" s="139">
        <f t="shared" ref="X84:X104" si="16">H84+K84+N84+Q84+T84+W84</f>
        <v>70</v>
      </c>
      <c r="Y84" s="140" t="str">
        <f>IF(Z84&gt;=3,"Sí","No")</f>
        <v>No</v>
      </c>
      <c r="Z84" s="141">
        <f>COUNTA(H84,K84,N84,Q84,T84,W84)</f>
        <v>1</v>
      </c>
      <c r="AA84" s="148"/>
      <c r="AB84" s="262" t="str">
        <f>IFERROR(VLOOKUP(C84,Tabla15[[Piloto2]:[Puntos clase5]],4, FALSE), " ")</f>
        <v>2RM</v>
      </c>
    </row>
    <row r="85" spans="2:35" ht="12.75" customHeight="1" x14ac:dyDescent="0.3">
      <c r="B85" s="133">
        <v>2</v>
      </c>
      <c r="C85" s="142" t="s">
        <v>577</v>
      </c>
      <c r="D85" s="481">
        <v>2</v>
      </c>
      <c r="E85" s="483" t="str">
        <f t="shared" si="14"/>
        <v>2</v>
      </c>
      <c r="F85" s="475">
        <f>IFERROR(VLOOKUP(C85,'01_RS ALCARRIA'!$F$6:$R$36,13,FALSE),"")</f>
        <v>20</v>
      </c>
      <c r="G85" s="135">
        <f>IFERROR(VLOOKUP(C85,'01_RS ALCARRIA'!$F$6:$T$36,15,FALSE),"")</f>
        <v>8</v>
      </c>
      <c r="H85" s="138">
        <f t="shared" si="15"/>
        <v>56</v>
      </c>
      <c r="I85" s="135"/>
      <c r="J85" s="135"/>
      <c r="K85" s="138"/>
      <c r="L85" s="135"/>
      <c r="M85" s="135"/>
      <c r="N85" s="138"/>
      <c r="O85" s="135"/>
      <c r="P85" s="135"/>
      <c r="Q85" s="138"/>
      <c r="R85" s="135"/>
      <c r="S85" s="135"/>
      <c r="T85" s="138"/>
      <c r="U85" s="135"/>
      <c r="V85" s="135"/>
      <c r="W85" s="138"/>
      <c r="X85" s="139">
        <f t="shared" si="16"/>
        <v>56</v>
      </c>
      <c r="Y85" s="140" t="str">
        <f t="shared" ref="Y85:Y104" si="17">IF(Z85&gt;=3,"Sí","No")</f>
        <v>No</v>
      </c>
      <c r="Z85" s="141">
        <f t="shared" ref="Z85:Z104" si="18">COUNTA(H85,K85,N85,Q85,T85,W85)</f>
        <v>1</v>
      </c>
      <c r="AA85" s="148"/>
      <c r="AB85" s="262" t="str">
        <f>IFERROR(VLOOKUP(C85,Tabla15[[Piloto2]:[Puntos clase5]],4, FALSE), " ")</f>
        <v>2RM</v>
      </c>
    </row>
    <row r="86" spans="2:35" ht="12.75" customHeight="1" x14ac:dyDescent="0.3">
      <c r="B86" s="133">
        <v>3</v>
      </c>
      <c r="C86" s="142" t="s">
        <v>590</v>
      </c>
      <c r="D86" s="482">
        <v>3</v>
      </c>
      <c r="E86" s="483" t="str">
        <f t="shared" si="14"/>
        <v>2</v>
      </c>
      <c r="F86" s="135">
        <f>IFERROR(VLOOKUP(C86,'01_RS ALCARRIA'!$F$6:$R$36,13,FALSE),"")</f>
        <v>15</v>
      </c>
      <c r="G86" s="135">
        <f>IFERROR(VLOOKUP(C86,'01_RS ALCARRIA'!$F$6:$T$36,15,FALSE),"")</f>
        <v>10</v>
      </c>
      <c r="H86" s="138">
        <f t="shared" si="15"/>
        <v>50</v>
      </c>
      <c r="I86" s="135"/>
      <c r="J86" s="135"/>
      <c r="K86" s="138"/>
      <c r="L86" s="135"/>
      <c r="M86" s="135"/>
      <c r="N86" s="138"/>
      <c r="O86" s="135"/>
      <c r="P86" s="135"/>
      <c r="Q86" s="138"/>
      <c r="R86" s="135"/>
      <c r="S86" s="135"/>
      <c r="T86" s="138"/>
      <c r="U86" s="135"/>
      <c r="V86" s="135"/>
      <c r="W86" s="138"/>
      <c r="X86" s="139">
        <f t="shared" si="16"/>
        <v>50</v>
      </c>
      <c r="Y86" s="140" t="str">
        <f t="shared" si="17"/>
        <v>No</v>
      </c>
      <c r="Z86" s="141">
        <f t="shared" si="18"/>
        <v>1</v>
      </c>
      <c r="AA86" s="148"/>
      <c r="AB86" s="262" t="str">
        <f>IFERROR(VLOOKUP(C86,Tabla15[[Piloto2]:[Puntos clase5]],4, FALSE), " ")</f>
        <v>2RM</v>
      </c>
    </row>
    <row r="87" spans="2:35" ht="12.75" customHeight="1" x14ac:dyDescent="0.3">
      <c r="B87" s="133">
        <v>4</v>
      </c>
      <c r="C87" s="134" t="s">
        <v>589</v>
      </c>
      <c r="D87" s="480">
        <v>1</v>
      </c>
      <c r="E87" s="482" t="str">
        <f t="shared" si="14"/>
        <v>4</v>
      </c>
      <c r="F87" s="135">
        <f>IFERROR(VLOOKUP(C87,'01_RS ALCARRIA'!$F$6:$R$36,13,FALSE),"")</f>
        <v>17</v>
      </c>
      <c r="G87" s="284">
        <f>IFERROR(VLOOKUP(C87,'01_RS ALCARRIA'!$F$6:$T$36,15,FALSE),"")/2</f>
        <v>5</v>
      </c>
      <c r="H87" s="138">
        <f t="shared" si="15"/>
        <v>44</v>
      </c>
      <c r="I87" s="135"/>
      <c r="J87" s="135"/>
      <c r="K87" s="138"/>
      <c r="L87" s="135"/>
      <c r="M87" s="135"/>
      <c r="N87" s="138"/>
      <c r="O87" s="135"/>
      <c r="P87" s="135"/>
      <c r="Q87" s="138"/>
      <c r="R87" s="135"/>
      <c r="S87" s="135"/>
      <c r="T87" s="138"/>
      <c r="U87" s="135"/>
      <c r="V87" s="135"/>
      <c r="W87" s="138"/>
      <c r="X87" s="139">
        <f t="shared" si="16"/>
        <v>44</v>
      </c>
      <c r="Y87" s="140" t="str">
        <f t="shared" si="17"/>
        <v>No</v>
      </c>
      <c r="Z87" s="141">
        <f t="shared" si="18"/>
        <v>1</v>
      </c>
      <c r="AA87" s="148"/>
      <c r="AB87" s="262" t="str">
        <f>IFERROR(VLOOKUP(C87,Tabla15[[Piloto2]:[Puntos clase5]],4, FALSE), " ")</f>
        <v>4RM</v>
      </c>
    </row>
    <row r="88" spans="2:35" ht="12.75" customHeight="1" x14ac:dyDescent="0.3">
      <c r="B88" s="133">
        <v>5</v>
      </c>
      <c r="C88" s="142" t="s">
        <v>457</v>
      </c>
      <c r="D88" s="482">
        <v>3</v>
      </c>
      <c r="E88" s="482" t="str">
        <f t="shared" si="14"/>
        <v>2</v>
      </c>
      <c r="F88" s="135">
        <f>IFERROR(VLOOKUP(C88,'01_RS ALCARRIA'!$F$6:$R$36,13,FALSE),"")</f>
        <v>12</v>
      </c>
      <c r="G88" s="135">
        <f>IFERROR(VLOOKUP(C88,'01_RS ALCARRIA'!$F$6:$T$36,15,FALSE),"")</f>
        <v>8</v>
      </c>
      <c r="H88" s="138">
        <f t="shared" si="15"/>
        <v>40</v>
      </c>
      <c r="I88" s="135"/>
      <c r="J88" s="135"/>
      <c r="K88" s="138"/>
      <c r="L88" s="135"/>
      <c r="M88" s="135"/>
      <c r="N88" s="138"/>
      <c r="O88" s="135"/>
      <c r="P88" s="135"/>
      <c r="Q88" s="138"/>
      <c r="R88" s="135"/>
      <c r="S88" s="135"/>
      <c r="T88" s="138"/>
      <c r="U88" s="135"/>
      <c r="V88" s="135"/>
      <c r="W88" s="138"/>
      <c r="X88" s="139">
        <f t="shared" si="16"/>
        <v>40</v>
      </c>
      <c r="Y88" s="140" t="str">
        <f t="shared" si="17"/>
        <v>No</v>
      </c>
      <c r="Z88" s="141">
        <f t="shared" si="18"/>
        <v>1</v>
      </c>
      <c r="AA88" s="148"/>
      <c r="AB88" s="262" t="str">
        <f>IFERROR(VLOOKUP(C88,Tabla15[[Piloto2]:[Puntos clase5]],4, FALSE), " ")</f>
        <v>2RM</v>
      </c>
    </row>
    <row r="89" spans="2:35" ht="12.75" customHeight="1" x14ac:dyDescent="0.3">
      <c r="B89" s="133">
        <v>6</v>
      </c>
      <c r="C89" s="142" t="s">
        <v>594</v>
      </c>
      <c r="D89" s="482">
        <v>3</v>
      </c>
      <c r="E89" s="482" t="str">
        <f t="shared" si="14"/>
        <v>2</v>
      </c>
      <c r="F89" s="135">
        <f>IFERROR(VLOOKUP(C89,'01_RS ALCARRIA'!$F$6:$R$36,13,FALSE),"")</f>
        <v>10</v>
      </c>
      <c r="G89" s="135">
        <f>IFERROR(VLOOKUP(C89,'01_RS ALCARRIA'!$F$6:$T$36,15,FALSE),"")</f>
        <v>6</v>
      </c>
      <c r="H89" s="138">
        <f t="shared" si="15"/>
        <v>32</v>
      </c>
      <c r="I89" s="135"/>
      <c r="J89" s="135"/>
      <c r="K89" s="138"/>
      <c r="L89" s="135"/>
      <c r="M89" s="135"/>
      <c r="N89" s="138"/>
      <c r="O89" s="135"/>
      <c r="P89" s="135"/>
      <c r="Q89" s="138"/>
      <c r="R89" s="135"/>
      <c r="S89" s="135"/>
      <c r="T89" s="138"/>
      <c r="U89" s="135"/>
      <c r="V89" s="135"/>
      <c r="W89" s="138"/>
      <c r="X89" s="139">
        <f t="shared" si="16"/>
        <v>32</v>
      </c>
      <c r="Y89" s="140" t="str">
        <f t="shared" si="17"/>
        <v>No</v>
      </c>
      <c r="Z89" s="141">
        <f t="shared" si="18"/>
        <v>1</v>
      </c>
      <c r="AA89" s="148"/>
      <c r="AB89" s="262" t="str">
        <f>IFERROR(VLOOKUP(C89,Tabla15[[Piloto2]:[Puntos clase5]],4, FALSE), " ")</f>
        <v>2RM</v>
      </c>
    </row>
    <row r="90" spans="2:35" ht="12.75" customHeight="1" x14ac:dyDescent="0.3">
      <c r="B90" s="133">
        <v>6</v>
      </c>
      <c r="C90" s="142" t="s">
        <v>598</v>
      </c>
      <c r="D90" s="482">
        <v>5</v>
      </c>
      <c r="E90" s="482" t="str">
        <f t="shared" si="14"/>
        <v>2</v>
      </c>
      <c r="F90" s="135">
        <f>IFERROR(VLOOKUP(C90,'01_RS ALCARRIA'!$F$6:$R$36,13,FALSE),"")</f>
        <v>6</v>
      </c>
      <c r="G90" s="135">
        <f>IFERROR(VLOOKUP(C90,'01_RS ALCARRIA'!$F$6:$T$36,15,FALSE),"")</f>
        <v>10</v>
      </c>
      <c r="H90" s="138">
        <f t="shared" si="15"/>
        <v>32</v>
      </c>
      <c r="I90" s="135"/>
      <c r="J90" s="135"/>
      <c r="K90" s="138"/>
      <c r="L90" s="135"/>
      <c r="M90" s="135"/>
      <c r="N90" s="138"/>
      <c r="O90" s="135"/>
      <c r="P90" s="135"/>
      <c r="Q90" s="138"/>
      <c r="R90" s="135"/>
      <c r="S90" s="135"/>
      <c r="T90" s="138"/>
      <c r="U90" s="135"/>
      <c r="V90" s="135"/>
      <c r="W90" s="138"/>
      <c r="X90" s="139">
        <f t="shared" si="16"/>
        <v>32</v>
      </c>
      <c r="Y90" s="140" t="str">
        <f t="shared" si="17"/>
        <v>No</v>
      </c>
      <c r="Z90" s="141">
        <f t="shared" si="18"/>
        <v>1</v>
      </c>
      <c r="AA90" s="148"/>
      <c r="AB90" s="262" t="str">
        <f>IFERROR(VLOOKUP(C90,Tabla15[[Piloto2]:[Puntos clase5]],4, FALSE), " ")</f>
        <v>2RM</v>
      </c>
    </row>
    <row r="91" spans="2:35" ht="12.75" customHeight="1" x14ac:dyDescent="0.3">
      <c r="B91" s="133">
        <v>8</v>
      </c>
      <c r="C91" s="142" t="s">
        <v>596</v>
      </c>
      <c r="D91" s="482">
        <v>3</v>
      </c>
      <c r="E91" s="482" t="str">
        <f t="shared" si="14"/>
        <v>2</v>
      </c>
      <c r="F91" s="135">
        <f>IFERROR(VLOOKUP(C91,'01_RS ALCARRIA'!$F$6:$R$36,13,FALSE),"")</f>
        <v>8</v>
      </c>
      <c r="G91" s="135">
        <f>IFERROR(VLOOKUP(C91,'01_RS ALCARRIA'!$F$6:$T$36,15,FALSE),"")</f>
        <v>5</v>
      </c>
      <c r="H91" s="138">
        <f t="shared" si="15"/>
        <v>26</v>
      </c>
      <c r="I91" s="135"/>
      <c r="J91" s="135"/>
      <c r="K91" s="138"/>
      <c r="L91" s="135"/>
      <c r="M91" s="135"/>
      <c r="N91" s="138"/>
      <c r="O91" s="135"/>
      <c r="P91" s="135"/>
      <c r="Q91" s="138"/>
      <c r="R91" s="135"/>
      <c r="S91" s="135"/>
      <c r="T91" s="138"/>
      <c r="U91" s="135"/>
      <c r="V91" s="135"/>
      <c r="W91" s="138"/>
      <c r="X91" s="139">
        <f t="shared" si="16"/>
        <v>26</v>
      </c>
      <c r="Y91" s="140" t="str">
        <f t="shared" si="17"/>
        <v>No</v>
      </c>
      <c r="Z91" s="141">
        <f t="shared" si="18"/>
        <v>1</v>
      </c>
      <c r="AA91" s="148"/>
      <c r="AB91" s="262" t="str">
        <f>IFERROR(VLOOKUP(C91,Tabla15[[Piloto2]:[Puntos clase5]],4, FALSE), " ")</f>
        <v>2RM</v>
      </c>
    </row>
    <row r="92" spans="2:35" ht="12.75" customHeight="1" x14ac:dyDescent="0.3">
      <c r="B92" s="133">
        <v>9</v>
      </c>
      <c r="C92" s="142" t="s">
        <v>605</v>
      </c>
      <c r="D92" s="482">
        <v>3</v>
      </c>
      <c r="E92" s="482" t="str">
        <f t="shared" si="14"/>
        <v>2</v>
      </c>
      <c r="F92" s="135">
        <f>IFERROR(VLOOKUP(C92,'01_RS ALCARRIA'!$F$6:$R$36,13,FALSE),"")</f>
        <v>5</v>
      </c>
      <c r="G92" s="135">
        <f>IFERROR(VLOOKUP(C92,'01_RS ALCARRIA'!$F$6:$T$36,15,FALSE),"")</f>
        <v>3</v>
      </c>
      <c r="H92" s="138">
        <f t="shared" si="15"/>
        <v>16</v>
      </c>
      <c r="I92" s="135"/>
      <c r="J92" s="135"/>
      <c r="K92" s="138"/>
      <c r="L92" s="135"/>
      <c r="M92" s="135"/>
      <c r="N92" s="138"/>
      <c r="O92" s="135"/>
      <c r="P92" s="135"/>
      <c r="Q92" s="138"/>
      <c r="R92" s="135"/>
      <c r="S92" s="135"/>
      <c r="T92" s="138"/>
      <c r="U92" s="135"/>
      <c r="V92" s="135"/>
      <c r="W92" s="138"/>
      <c r="X92" s="139">
        <f t="shared" si="16"/>
        <v>16</v>
      </c>
      <c r="Y92" s="140" t="str">
        <f t="shared" si="17"/>
        <v>No</v>
      </c>
      <c r="Z92" s="141">
        <f t="shared" si="18"/>
        <v>1</v>
      </c>
      <c r="AA92" s="148"/>
      <c r="AB92" s="262" t="str">
        <f>IFERROR(VLOOKUP(C92,Tabla15[[Piloto2]:[Puntos clase5]],4, FALSE), " ")</f>
        <v>2RM</v>
      </c>
    </row>
    <row r="93" spans="2:35" ht="12.75" customHeight="1" x14ac:dyDescent="0.3">
      <c r="B93" s="133">
        <v>10</v>
      </c>
      <c r="C93" s="142" t="s">
        <v>212</v>
      </c>
      <c r="D93" s="482">
        <v>3</v>
      </c>
      <c r="E93" s="482" t="str">
        <f t="shared" si="14"/>
        <v>2</v>
      </c>
      <c r="F93" s="135">
        <f>IFERROR(VLOOKUP(C93,'01_RS ALCARRIA'!$F$6:$R$36,13,FALSE),"")</f>
        <v>4</v>
      </c>
      <c r="G93" s="135">
        <f>IFERROR(VLOOKUP(C93,'01_RS ALCARRIA'!$F$6:$T$36,15,FALSE),"")</f>
        <v>1</v>
      </c>
      <c r="H93" s="138">
        <f t="shared" si="15"/>
        <v>10</v>
      </c>
      <c r="I93" s="135"/>
      <c r="J93" s="135"/>
      <c r="K93" s="138"/>
      <c r="L93" s="135"/>
      <c r="M93" s="135"/>
      <c r="N93" s="138"/>
      <c r="O93" s="135"/>
      <c r="P93" s="135"/>
      <c r="Q93" s="138"/>
      <c r="R93" s="135"/>
      <c r="S93" s="135"/>
      <c r="T93" s="138"/>
      <c r="U93" s="135"/>
      <c r="V93" s="135"/>
      <c r="W93" s="138"/>
      <c r="X93" s="139">
        <f t="shared" si="16"/>
        <v>10</v>
      </c>
      <c r="Y93" s="140" t="str">
        <f t="shared" si="17"/>
        <v>No</v>
      </c>
      <c r="Z93" s="141">
        <f t="shared" si="18"/>
        <v>1</v>
      </c>
      <c r="AA93" s="148"/>
      <c r="AB93" s="262" t="str">
        <f>IFERROR(VLOOKUP(C93,Tabla15[[Piloto2]:[Puntos clase5]],4, FALSE), " ")</f>
        <v>2RM</v>
      </c>
    </row>
    <row r="94" spans="2:35" ht="12.75" customHeight="1" x14ac:dyDescent="0.3">
      <c r="B94" s="133">
        <v>10</v>
      </c>
      <c r="C94" s="134" t="s">
        <v>625</v>
      </c>
      <c r="D94" s="482">
        <v>4</v>
      </c>
      <c r="E94" s="482" t="str">
        <f t="shared" si="14"/>
        <v>2</v>
      </c>
      <c r="F94" s="135">
        <f>IFERROR(VLOOKUP(C94,'01_RS ALCARRIA'!$F$6:$R$36,13,FALSE),"")</f>
        <v>0</v>
      </c>
      <c r="G94" s="284">
        <f>IFERROR(VLOOKUP(C94,'01_RS ALCARRIA'!$F$6:$T$36,15,FALSE),"")/2</f>
        <v>5</v>
      </c>
      <c r="H94" s="138">
        <f t="shared" si="15"/>
        <v>10</v>
      </c>
      <c r="I94" s="135"/>
      <c r="J94" s="135"/>
      <c r="K94" s="138"/>
      <c r="L94" s="135"/>
      <c r="M94" s="135"/>
      <c r="N94" s="138"/>
      <c r="O94" s="135"/>
      <c r="P94" s="135"/>
      <c r="Q94" s="138"/>
      <c r="R94" s="135"/>
      <c r="S94" s="135"/>
      <c r="T94" s="138"/>
      <c r="U94" s="135"/>
      <c r="V94" s="135"/>
      <c r="W94" s="138"/>
      <c r="X94" s="139">
        <f t="shared" si="16"/>
        <v>10</v>
      </c>
      <c r="Y94" s="140" t="str">
        <f t="shared" si="17"/>
        <v>No</v>
      </c>
      <c r="Z94" s="141">
        <f t="shared" si="18"/>
        <v>1</v>
      </c>
      <c r="AA94" s="148"/>
      <c r="AB94" s="262" t="str">
        <f>IFERROR(VLOOKUP(C94,Tabla15[[Piloto2]:[Puntos clase5]],4, FALSE), " ")</f>
        <v>2RM</v>
      </c>
      <c r="AC94" s="232" t="s">
        <v>271</v>
      </c>
      <c r="AD94" s="229"/>
      <c r="AE94" s="229"/>
      <c r="AF94" s="229"/>
      <c r="AG94" s="229"/>
      <c r="AH94" s="229"/>
      <c r="AI94" s="230"/>
    </row>
    <row r="95" spans="2:35" ht="12.75" customHeight="1" x14ac:dyDescent="0.3">
      <c r="B95" s="133">
        <v>12</v>
      </c>
      <c r="C95" s="142" t="s">
        <v>608</v>
      </c>
      <c r="D95" s="482">
        <v>3</v>
      </c>
      <c r="E95" s="482" t="str">
        <f t="shared" si="14"/>
        <v>2</v>
      </c>
      <c r="F95" s="135">
        <f>IFERROR(VLOOKUP(C95,'01_RS ALCARRIA'!$F$6:$R$36,13,FALSE),"")</f>
        <v>3</v>
      </c>
      <c r="G95" s="135">
        <f>IFERROR(VLOOKUP(C95,'01_RS ALCARRIA'!$F$6:$T$36,15,FALSE),"")</f>
        <v>0</v>
      </c>
      <c r="H95" s="138">
        <f t="shared" si="15"/>
        <v>6</v>
      </c>
      <c r="I95" s="135"/>
      <c r="J95" s="135"/>
      <c r="K95" s="138"/>
      <c r="L95" s="135"/>
      <c r="M95" s="135"/>
      <c r="N95" s="138"/>
      <c r="O95" s="135"/>
      <c r="P95" s="135"/>
      <c r="Q95" s="138"/>
      <c r="R95" s="135"/>
      <c r="S95" s="135"/>
      <c r="T95" s="138"/>
      <c r="U95" s="135"/>
      <c r="V95" s="135"/>
      <c r="W95" s="138"/>
      <c r="X95" s="139">
        <f t="shared" si="16"/>
        <v>6</v>
      </c>
      <c r="Y95" s="140" t="str">
        <f t="shared" si="17"/>
        <v>No</v>
      </c>
      <c r="Z95" s="141">
        <f t="shared" si="18"/>
        <v>1</v>
      </c>
      <c r="AA95" s="148"/>
      <c r="AB95" s="262" t="str">
        <f>IFERROR(VLOOKUP(C95,Tabla15[[Piloto2]:[Puntos clase5]],4, FALSE), " ")</f>
        <v>2RM</v>
      </c>
      <c r="AC95" s="8" t="s">
        <v>272</v>
      </c>
      <c r="AD95" s="8">
        <v>1</v>
      </c>
      <c r="AE95" s="8">
        <v>2</v>
      </c>
      <c r="AF95" s="8">
        <v>3</v>
      </c>
      <c r="AG95" s="8">
        <v>4</v>
      </c>
      <c r="AH95" s="8">
        <v>5</v>
      </c>
      <c r="AI95" s="8" t="s">
        <v>9</v>
      </c>
    </row>
    <row r="96" spans="2:35" ht="12.75" customHeight="1" x14ac:dyDescent="0.3">
      <c r="B96" s="133">
        <v>13</v>
      </c>
      <c r="C96" s="142" t="s">
        <v>611</v>
      </c>
      <c r="D96" s="482">
        <v>3</v>
      </c>
      <c r="E96" s="482" t="str">
        <f t="shared" si="14"/>
        <v>2</v>
      </c>
      <c r="F96" s="135">
        <f>IFERROR(VLOOKUP(C96,'01_RS ALCARRIA'!$F$6:$R$36,13,FALSE),"")</f>
        <v>2</v>
      </c>
      <c r="G96" s="135">
        <f>IFERROR(VLOOKUP(C96,'01_RS ALCARRIA'!$F$6:$T$36,15,FALSE),"")</f>
        <v>0</v>
      </c>
      <c r="H96" s="138">
        <f t="shared" si="15"/>
        <v>4</v>
      </c>
      <c r="I96" s="135"/>
      <c r="J96" s="135"/>
      <c r="K96" s="138"/>
      <c r="L96" s="135"/>
      <c r="M96" s="135"/>
      <c r="N96" s="138"/>
      <c r="O96" s="135"/>
      <c r="P96" s="135"/>
      <c r="Q96" s="138"/>
      <c r="R96" s="135"/>
      <c r="S96" s="135"/>
      <c r="T96" s="138"/>
      <c r="U96" s="135"/>
      <c r="V96" s="135"/>
      <c r="W96" s="138"/>
      <c r="X96" s="139">
        <f t="shared" si="16"/>
        <v>4</v>
      </c>
      <c r="Y96" s="140" t="str">
        <f t="shared" si="17"/>
        <v>No</v>
      </c>
      <c r="Z96" s="141">
        <f t="shared" si="18"/>
        <v>1</v>
      </c>
      <c r="AA96" s="148"/>
      <c r="AB96" s="262" t="str">
        <f>IFERROR(VLOOKUP(C96,Tabla15[[Piloto2]:[Puntos clase5]],4, FALSE), " ")</f>
        <v>2RM</v>
      </c>
      <c r="AC96" s="8">
        <f>COUNTA(C6:C25)</f>
        <v>20</v>
      </c>
      <c r="AD96" s="8">
        <f>COUNTIF($D$6:$D$25,AD95)</f>
        <v>2</v>
      </c>
      <c r="AE96" s="8">
        <f>COUNTIF($D$6:$D$25,AE95)</f>
        <v>3</v>
      </c>
      <c r="AF96" s="8">
        <f>COUNTIF($D$6:$D$25,AF95)</f>
        <v>10</v>
      </c>
      <c r="AG96" s="8">
        <f>COUNTIF($D$6:$D$25,AG95)</f>
        <v>4</v>
      </c>
      <c r="AH96" s="8">
        <f>COUNTIF($D$6:$D$25,AH95)</f>
        <v>1</v>
      </c>
      <c r="AI96" s="231">
        <f>SUM(AD96:AH96)</f>
        <v>20</v>
      </c>
    </row>
    <row r="97" spans="2:39" ht="12.75" customHeight="1" x14ac:dyDescent="0.3">
      <c r="B97" s="133">
        <v>14</v>
      </c>
      <c r="C97" s="142" t="s">
        <v>613</v>
      </c>
      <c r="D97" s="482">
        <v>3</v>
      </c>
      <c r="E97" s="482" t="str">
        <f t="shared" si="14"/>
        <v>2</v>
      </c>
      <c r="F97" s="135">
        <f>IFERROR(VLOOKUP(C97,'01_RS ALCARRIA'!$F$6:$R$36,13,FALSE),"")</f>
        <v>1</v>
      </c>
      <c r="G97" s="135">
        <f>IFERROR(VLOOKUP(C97,'01_RS ALCARRIA'!$F$6:$T$36,15,FALSE),"")</f>
        <v>0</v>
      </c>
      <c r="H97" s="138">
        <f t="shared" si="15"/>
        <v>2</v>
      </c>
      <c r="I97" s="135"/>
      <c r="J97" s="135"/>
      <c r="K97" s="138"/>
      <c r="L97" s="135"/>
      <c r="M97" s="135"/>
      <c r="N97" s="138"/>
      <c r="O97" s="135"/>
      <c r="P97" s="135"/>
      <c r="Q97" s="138"/>
      <c r="R97" s="135"/>
      <c r="S97" s="135"/>
      <c r="T97" s="138"/>
      <c r="U97" s="135"/>
      <c r="V97" s="135"/>
      <c r="W97" s="138"/>
      <c r="X97" s="139">
        <f t="shared" si="16"/>
        <v>2</v>
      </c>
      <c r="Y97" s="140" t="str">
        <f t="shared" si="17"/>
        <v>No</v>
      </c>
      <c r="Z97" s="141">
        <f t="shared" si="18"/>
        <v>1</v>
      </c>
      <c r="AA97" s="148"/>
      <c r="AB97" s="262" t="str">
        <f>IFERROR(VLOOKUP(C97,Tabla15[[Piloto2]:[Puntos clase5]],4, FALSE), " ")</f>
        <v>2RM</v>
      </c>
    </row>
    <row r="98" spans="2:39" ht="12.75" customHeight="1" x14ac:dyDescent="0.3">
      <c r="B98" s="133" t="s">
        <v>658</v>
      </c>
      <c r="C98" s="142" t="s">
        <v>620</v>
      </c>
      <c r="D98" s="482">
        <v>3</v>
      </c>
      <c r="E98" s="482" t="str">
        <f t="shared" si="14"/>
        <v>2</v>
      </c>
      <c r="F98" s="135">
        <f>IFERROR(VLOOKUP(C98,'01_RS ALCARRIA'!$F$6:$R$36,13,FALSE),"")</f>
        <v>0</v>
      </c>
      <c r="G98" s="135">
        <f>IFERROR(VLOOKUP(C98,'01_RS ALCARRIA'!$F$6:$T$36,15,FALSE),"")</f>
        <v>0</v>
      </c>
      <c r="H98" s="138">
        <f t="shared" si="15"/>
        <v>0</v>
      </c>
      <c r="I98" s="135"/>
      <c r="J98" s="135"/>
      <c r="K98" s="138"/>
      <c r="L98" s="135"/>
      <c r="M98" s="135"/>
      <c r="N98" s="138"/>
      <c r="O98" s="135"/>
      <c r="P98" s="135"/>
      <c r="Q98" s="138"/>
      <c r="R98" s="135"/>
      <c r="S98" s="135"/>
      <c r="T98" s="138"/>
      <c r="U98" s="135"/>
      <c r="V98" s="135"/>
      <c r="W98" s="138"/>
      <c r="X98" s="139">
        <f t="shared" si="16"/>
        <v>0</v>
      </c>
      <c r="Y98" s="140" t="str">
        <f t="shared" si="17"/>
        <v>No</v>
      </c>
      <c r="Z98" s="141">
        <f t="shared" si="18"/>
        <v>1</v>
      </c>
      <c r="AA98" s="7"/>
      <c r="AB98" s="262" t="str">
        <f>IFERROR(VLOOKUP(C98,Tabla15[[Piloto2]:[Puntos clase5]],4, FALSE), " ")</f>
        <v>2RM</v>
      </c>
      <c r="AC98" s="6"/>
    </row>
    <row r="99" spans="2:39" ht="12.75" customHeight="1" x14ac:dyDescent="0.3">
      <c r="B99" s="133" t="s">
        <v>658</v>
      </c>
      <c r="C99" s="142" t="s">
        <v>627</v>
      </c>
      <c r="D99" s="482">
        <v>5</v>
      </c>
      <c r="E99" s="482" t="str">
        <f t="shared" si="14"/>
        <v>4</v>
      </c>
      <c r="F99" s="135">
        <v>0</v>
      </c>
      <c r="G99" s="135">
        <v>0</v>
      </c>
      <c r="H99" s="138">
        <f t="shared" ref="H99:H104" si="19">(F99+G99)</f>
        <v>0</v>
      </c>
      <c r="I99" s="135"/>
      <c r="J99" s="135"/>
      <c r="K99" s="138"/>
      <c r="L99" s="135"/>
      <c r="M99" s="135"/>
      <c r="N99" s="138"/>
      <c r="O99" s="135"/>
      <c r="P99" s="135"/>
      <c r="Q99" s="138"/>
      <c r="R99" s="135"/>
      <c r="S99" s="135"/>
      <c r="T99" s="138"/>
      <c r="U99" s="135"/>
      <c r="V99" s="135"/>
      <c r="W99" s="138"/>
      <c r="X99" s="139">
        <f t="shared" si="16"/>
        <v>0</v>
      </c>
      <c r="Y99" s="140" t="str">
        <f t="shared" si="17"/>
        <v>No</v>
      </c>
      <c r="Z99" s="141">
        <f t="shared" si="18"/>
        <v>1</v>
      </c>
      <c r="AB99" s="262" t="str">
        <f>IFERROR(VLOOKUP(C99,Tabla15[[Piloto2]:[Puntos clase5]],4, FALSE), " ")</f>
        <v>4RM</v>
      </c>
      <c r="AC99" s="2"/>
    </row>
    <row r="100" spans="2:39" ht="12.75" customHeight="1" x14ac:dyDescent="0.3">
      <c r="B100" s="133" t="s">
        <v>658</v>
      </c>
      <c r="C100" s="142" t="s">
        <v>629</v>
      </c>
      <c r="D100" s="482">
        <v>2</v>
      </c>
      <c r="E100" s="482" t="str">
        <f t="shared" si="14"/>
        <v>2</v>
      </c>
      <c r="F100" s="135">
        <v>0</v>
      </c>
      <c r="G100" s="135">
        <v>0</v>
      </c>
      <c r="H100" s="138">
        <f t="shared" si="19"/>
        <v>0</v>
      </c>
      <c r="I100" s="135"/>
      <c r="J100" s="135"/>
      <c r="K100" s="138"/>
      <c r="L100" s="135"/>
      <c r="M100" s="135"/>
      <c r="N100" s="138"/>
      <c r="O100" s="135"/>
      <c r="P100" s="135"/>
      <c r="Q100" s="138"/>
      <c r="R100" s="135"/>
      <c r="S100" s="135"/>
      <c r="T100" s="138"/>
      <c r="U100" s="135"/>
      <c r="V100" s="135"/>
      <c r="W100" s="138"/>
      <c r="X100" s="139">
        <f t="shared" si="16"/>
        <v>0</v>
      </c>
      <c r="Y100" s="140" t="str">
        <f t="shared" si="17"/>
        <v>No</v>
      </c>
      <c r="Z100" s="141">
        <f t="shared" si="18"/>
        <v>1</v>
      </c>
      <c r="AA100" s="121"/>
      <c r="AB100" s="262" t="str">
        <f>IFERROR(VLOOKUP(C100,Tabla15[[Piloto2]:[Puntos clase5]],4, FALSE), " ")</f>
        <v>2RM</v>
      </c>
      <c r="AC100" s="8" t="s">
        <v>8</v>
      </c>
      <c r="AD100" s="8">
        <v>1</v>
      </c>
      <c r="AE100" s="8">
        <v>2</v>
      </c>
      <c r="AF100" s="8">
        <v>3</v>
      </c>
      <c r="AG100" s="8">
        <v>4</v>
      </c>
      <c r="AH100" s="8">
        <v>5</v>
      </c>
      <c r="AI100" s="8"/>
      <c r="AJ100" s="8"/>
      <c r="AK100" s="8"/>
      <c r="AL100" s="8"/>
      <c r="AM100" s="8" t="s">
        <v>9</v>
      </c>
    </row>
    <row r="101" spans="2:39" ht="12.75" customHeight="1" x14ac:dyDescent="0.3">
      <c r="B101" s="133" t="s">
        <v>658</v>
      </c>
      <c r="C101" s="142" t="s">
        <v>631</v>
      </c>
      <c r="D101" s="482">
        <v>5</v>
      </c>
      <c r="E101" s="482" t="str">
        <f t="shared" si="14"/>
        <v>2</v>
      </c>
      <c r="F101" s="135">
        <v>0</v>
      </c>
      <c r="G101" s="135">
        <v>0</v>
      </c>
      <c r="H101" s="138">
        <f t="shared" si="19"/>
        <v>0</v>
      </c>
      <c r="I101" s="135"/>
      <c r="J101" s="135"/>
      <c r="K101" s="138"/>
      <c r="L101" s="135"/>
      <c r="M101" s="135"/>
      <c r="N101" s="138"/>
      <c r="O101" s="135"/>
      <c r="P101" s="135"/>
      <c r="Q101" s="138"/>
      <c r="R101" s="135"/>
      <c r="S101" s="135"/>
      <c r="T101" s="138"/>
      <c r="U101" s="135"/>
      <c r="V101" s="135"/>
      <c r="W101" s="138"/>
      <c r="X101" s="139">
        <f t="shared" si="16"/>
        <v>0</v>
      </c>
      <c r="Y101" s="140" t="str">
        <f t="shared" si="17"/>
        <v>No</v>
      </c>
      <c r="Z101" s="141">
        <f t="shared" si="18"/>
        <v>1</v>
      </c>
      <c r="AA101" s="5"/>
      <c r="AB101" s="262" t="str">
        <f>IFERROR(VLOOKUP(C101,Tabla15[[Piloto2]:[Puntos clase5]],4, FALSE), " ")</f>
        <v>2RM</v>
      </c>
      <c r="AC101" s="8">
        <f>COUNTA(C6:C25)+COUNTA(Z180:Z181)+COUNTA(Z201:Z202)+COUNTA(Z229:Z230)</f>
        <v>26</v>
      </c>
      <c r="AD101" s="8">
        <f>COUNTIF($Z$6:$Z$25,AD100)+COUNTIF($Z$180:$Z$181,AD100)+COUNTIF($Z$201:$Z$202,AD100)+COUNTIF($Z$229:$Z$230,AD100)</f>
        <v>26</v>
      </c>
      <c r="AE101" s="8">
        <f>COUNTIF($Z$6:$Z$25,AE100)+COUNTIF($Z$180:$Z$181,AE100)+COUNTIF($Z$201:$Z$202,AE100)+COUNTIF($Z$229:$Z$230,AE100)</f>
        <v>0</v>
      </c>
      <c r="AF101" s="8">
        <f>COUNTIF($Z$6:$Z$25,AF100)+COUNTIF($Z$180:$Z$181,AF100)+COUNTIF($Z$201:$Z$202,AF100)+COUNTIF($Z$229:$Z$230,AF100)</f>
        <v>0</v>
      </c>
      <c r="AG101" s="8">
        <f>COUNTIF($Z$6:$Z$25,AG100)+COUNTIF($Z$180:$Z$181,AG100)+COUNTIF($Z$201:$Z$202,AG100)+COUNTIF($Z$229:$Z$230,AG100)</f>
        <v>0</v>
      </c>
      <c r="AH101" s="8">
        <f>COUNTIF($Z$6:$Z$25,AH100)+COUNTIF($Z$180:$Z$181,AH100)+COUNTIF($Z$201:$Z$202,AH100)+COUNTIF($Z$229:$Z$230,AH100)</f>
        <v>0</v>
      </c>
      <c r="AI101" s="8"/>
      <c r="AJ101" s="8"/>
      <c r="AK101" s="8"/>
      <c r="AL101" s="9"/>
      <c r="AM101" s="8">
        <f>SUM(AD101:AJ101)</f>
        <v>26</v>
      </c>
    </row>
    <row r="102" spans="2:39" ht="12.75" customHeight="1" x14ac:dyDescent="0.3">
      <c r="B102" s="133" t="s">
        <v>658</v>
      </c>
      <c r="C102" s="142" t="s">
        <v>633</v>
      </c>
      <c r="D102" s="482">
        <v>3</v>
      </c>
      <c r="E102" s="482">
        <v>2</v>
      </c>
      <c r="F102" s="135">
        <v>0</v>
      </c>
      <c r="G102" s="135">
        <v>0</v>
      </c>
      <c r="H102" s="138">
        <f t="shared" si="19"/>
        <v>0</v>
      </c>
      <c r="I102" s="135"/>
      <c r="J102" s="135"/>
      <c r="K102" s="138"/>
      <c r="L102" s="135"/>
      <c r="M102" s="135"/>
      <c r="N102" s="138"/>
      <c r="O102" s="135"/>
      <c r="P102" s="135"/>
      <c r="Q102" s="138"/>
      <c r="R102" s="135"/>
      <c r="S102" s="135"/>
      <c r="T102" s="138"/>
      <c r="U102" s="135"/>
      <c r="V102" s="135"/>
      <c r="W102" s="138"/>
      <c r="X102" s="139">
        <f t="shared" si="16"/>
        <v>0</v>
      </c>
      <c r="Y102" s="140" t="str">
        <f t="shared" si="17"/>
        <v>No</v>
      </c>
      <c r="Z102" s="141">
        <f t="shared" si="18"/>
        <v>1</v>
      </c>
      <c r="AA102" s="5"/>
      <c r="AB102" s="262" t="str">
        <f>IFERROR(VLOOKUP(C102,Tabla15[[Piloto2]:[Puntos clase5]],4, FALSE), " ")</f>
        <v>2RM</v>
      </c>
      <c r="AC102" s="31"/>
      <c r="AD102" s="32"/>
      <c r="AE102" s="32"/>
      <c r="AF102" s="32"/>
      <c r="AG102" s="32"/>
      <c r="AH102" s="32"/>
      <c r="AI102" s="32"/>
      <c r="AJ102" s="528" t="s">
        <v>32</v>
      </c>
      <c r="AK102" s="529"/>
      <c r="AL102" s="530"/>
      <c r="AM102" s="33" t="e">
        <f>#REF!/AM101</f>
        <v>#REF!</v>
      </c>
    </row>
    <row r="103" spans="2:39" ht="12.75" customHeight="1" x14ac:dyDescent="0.3">
      <c r="B103" s="133" t="s">
        <v>658</v>
      </c>
      <c r="C103" s="134" t="s">
        <v>636</v>
      </c>
      <c r="D103" s="482">
        <v>5</v>
      </c>
      <c r="E103" s="482" t="str">
        <f>LEFT(AB103,LEN(AB103)-2)</f>
        <v>2</v>
      </c>
      <c r="F103" s="135">
        <v>0</v>
      </c>
      <c r="G103" s="135">
        <v>0</v>
      </c>
      <c r="H103" s="138">
        <f t="shared" si="19"/>
        <v>0</v>
      </c>
      <c r="I103" s="135"/>
      <c r="J103" s="135"/>
      <c r="K103" s="138"/>
      <c r="L103" s="135"/>
      <c r="M103" s="135"/>
      <c r="N103" s="138"/>
      <c r="O103" s="135"/>
      <c r="P103" s="135"/>
      <c r="Q103" s="138"/>
      <c r="R103" s="135"/>
      <c r="S103" s="135"/>
      <c r="T103" s="138"/>
      <c r="U103" s="135"/>
      <c r="V103" s="135"/>
      <c r="W103" s="138"/>
      <c r="X103" s="139">
        <f t="shared" si="16"/>
        <v>0</v>
      </c>
      <c r="Y103" s="140" t="str">
        <f t="shared" si="17"/>
        <v>No</v>
      </c>
      <c r="Z103" s="141">
        <f t="shared" si="18"/>
        <v>1</v>
      </c>
      <c r="AA103" s="148"/>
      <c r="AB103" s="262" t="str">
        <f>IFERROR(VLOOKUP(C103,Tabla15[[Piloto2]:[Puntos clase5]],4, FALSE), " ")</f>
        <v>2RM</v>
      </c>
    </row>
    <row r="104" spans="2:39" ht="12.75" customHeight="1" x14ac:dyDescent="0.3">
      <c r="B104" s="133" t="s">
        <v>658</v>
      </c>
      <c r="C104" s="134" t="s">
        <v>638</v>
      </c>
      <c r="D104" s="482">
        <v>4</v>
      </c>
      <c r="E104" s="482" t="str">
        <f>LEFT(AB104,LEN(AB104)-2)</f>
        <v>2</v>
      </c>
      <c r="F104" s="135">
        <v>0</v>
      </c>
      <c r="G104" s="135">
        <v>0</v>
      </c>
      <c r="H104" s="138">
        <f t="shared" si="19"/>
        <v>0</v>
      </c>
      <c r="I104" s="135"/>
      <c r="J104" s="135"/>
      <c r="K104" s="138"/>
      <c r="L104" s="135"/>
      <c r="M104" s="135"/>
      <c r="N104" s="138"/>
      <c r="O104" s="135"/>
      <c r="P104" s="135"/>
      <c r="Q104" s="138"/>
      <c r="R104" s="135"/>
      <c r="S104" s="135"/>
      <c r="T104" s="138"/>
      <c r="U104" s="135"/>
      <c r="V104" s="135"/>
      <c r="W104" s="138"/>
      <c r="X104" s="139">
        <f t="shared" si="16"/>
        <v>0</v>
      </c>
      <c r="Y104" s="140" t="str">
        <f t="shared" si="17"/>
        <v>No</v>
      </c>
      <c r="Z104" s="141">
        <f t="shared" si="18"/>
        <v>1</v>
      </c>
      <c r="AA104" s="148"/>
      <c r="AB104" s="262" t="str">
        <f>IFERROR(VLOOKUP(C104,Tabla15[[Piloto2]:[Puntos clase5]],4, FALSE), " ")</f>
        <v>2RM</v>
      </c>
    </row>
    <row r="105" spans="2:39" ht="12.75" customHeight="1" x14ac:dyDescent="0.3">
      <c r="B105" s="147"/>
      <c r="C105" s="147"/>
      <c r="D105" s="147"/>
      <c r="E105" s="147"/>
      <c r="F105" s="147"/>
      <c r="G105" s="147"/>
      <c r="H105" s="147"/>
      <c r="I105" s="147"/>
      <c r="J105" s="147"/>
      <c r="K105" s="147"/>
      <c r="L105" s="147"/>
      <c r="M105" s="147"/>
      <c r="N105" s="147"/>
      <c r="O105" s="147"/>
      <c r="P105" s="147"/>
      <c r="Q105" s="147"/>
      <c r="R105" s="147"/>
      <c r="S105" s="147"/>
      <c r="T105" s="147"/>
      <c r="U105" s="147"/>
      <c r="V105" s="147"/>
      <c r="W105" s="147"/>
      <c r="X105" s="147"/>
      <c r="Y105" s="240"/>
      <c r="Z105" s="127"/>
      <c r="AA105" s="148"/>
      <c r="AB105" s="262"/>
    </row>
    <row r="106" spans="2:39" ht="3.75" customHeight="1" x14ac:dyDescent="0.3">
      <c r="B106" s="155"/>
      <c r="F106" s="155"/>
      <c r="G106" s="155"/>
      <c r="H106" s="155"/>
      <c r="I106" s="155"/>
      <c r="J106" s="155"/>
      <c r="K106" s="155"/>
      <c r="L106" s="155"/>
      <c r="M106" s="155"/>
      <c r="N106" s="155"/>
      <c r="O106" s="155"/>
      <c r="P106" s="155"/>
      <c r="Q106" s="155"/>
      <c r="R106" s="155"/>
      <c r="S106" s="155"/>
      <c r="T106" s="155"/>
      <c r="U106" s="155"/>
      <c r="V106" s="155"/>
      <c r="W106" s="155"/>
      <c r="X106" s="155"/>
      <c r="Y106" s="147"/>
      <c r="Z106" s="127"/>
      <c r="AA106" s="148"/>
      <c r="AB106" s="262"/>
      <c r="AC106" s="8"/>
      <c r="AD106" s="8"/>
      <c r="AE106" s="8"/>
      <c r="AF106" s="8"/>
      <c r="AG106" s="8"/>
      <c r="AH106" s="8"/>
      <c r="AI106" s="8"/>
      <c r="AJ106" s="8"/>
      <c r="AK106" s="8"/>
      <c r="AL106" s="158"/>
      <c r="AM106" s="8"/>
    </row>
    <row r="107" spans="2:39" ht="12.75" customHeight="1" x14ac:dyDescent="0.3">
      <c r="B107" s="1"/>
      <c r="C107" s="235"/>
      <c r="D107" s="284"/>
      <c r="E107" s="285" t="s">
        <v>534</v>
      </c>
      <c r="F107" s="147"/>
      <c r="G107" s="147"/>
      <c r="H107" s="147"/>
      <c r="I107" s="147"/>
      <c r="J107" s="147"/>
      <c r="K107" s="147"/>
      <c r="L107" s="147"/>
      <c r="M107" s="147"/>
      <c r="N107" s="147"/>
      <c r="O107" s="147"/>
      <c r="P107" s="147"/>
      <c r="Q107" s="147"/>
      <c r="R107" s="147"/>
      <c r="S107" s="147"/>
      <c r="T107" s="147"/>
      <c r="U107" s="147"/>
      <c r="V107" s="147"/>
      <c r="W107" s="147"/>
      <c r="X107" s="147"/>
      <c r="Y107" s="147"/>
      <c r="Z107" s="147"/>
      <c r="AA107" s="148"/>
      <c r="AB107" s="262"/>
    </row>
    <row r="108" spans="2:39" ht="3.65" customHeight="1" x14ac:dyDescent="0.3">
      <c r="B108" s="155"/>
      <c r="C108" s="236"/>
      <c r="D108" s="155"/>
      <c r="E108" s="155"/>
      <c r="F108" s="147"/>
      <c r="G108" s="147"/>
      <c r="H108" s="147"/>
      <c r="I108" s="147"/>
      <c r="J108" s="147"/>
      <c r="K108" s="147"/>
      <c r="L108" s="147"/>
      <c r="M108" s="147"/>
      <c r="N108" s="147"/>
      <c r="O108" s="147"/>
      <c r="P108" s="147"/>
      <c r="Q108" s="147"/>
      <c r="R108" s="147"/>
      <c r="S108" s="147"/>
      <c r="T108" s="147"/>
      <c r="U108" s="147"/>
      <c r="V108" s="147"/>
      <c r="W108" s="147"/>
      <c r="X108" s="147"/>
      <c r="Y108" s="147"/>
      <c r="Z108" s="7"/>
      <c r="AA108" s="7"/>
      <c r="AC108" s="8" t="e">
        <f>AC101+#REF!</f>
        <v>#REF!</v>
      </c>
      <c r="AD108" s="8" t="e">
        <f>AD101+#REF!</f>
        <v>#REF!</v>
      </c>
      <c r="AE108" s="8" t="e">
        <f>AE101+#REF!</f>
        <v>#REF!</v>
      </c>
      <c r="AF108" s="8" t="e">
        <f>AF101+#REF!</f>
        <v>#REF!</v>
      </c>
      <c r="AG108" s="8" t="e">
        <f>AG101+#REF!</f>
        <v>#REF!</v>
      </c>
      <c r="AH108" s="8" t="e">
        <f>AH101+#REF!</f>
        <v>#REF!</v>
      </c>
      <c r="AI108" s="8"/>
      <c r="AJ108" s="8"/>
      <c r="AK108" s="8"/>
      <c r="AL108" s="9"/>
      <c r="AM108" s="8" t="e">
        <f>SUM(AD108:AJ108)</f>
        <v>#REF!</v>
      </c>
    </row>
    <row r="109" spans="2:39" ht="12" x14ac:dyDescent="0.3">
      <c r="B109" s="155"/>
      <c r="C109" s="236" t="s">
        <v>659</v>
      </c>
      <c r="D109" s="237" t="s">
        <v>273</v>
      </c>
      <c r="E109" s="238"/>
      <c r="F109" s="147"/>
      <c r="G109" s="147"/>
      <c r="H109" s="147"/>
      <c r="I109" s="147"/>
      <c r="J109" s="147"/>
      <c r="K109" s="147"/>
      <c r="L109" s="147"/>
      <c r="M109" s="147"/>
      <c r="N109" s="147"/>
      <c r="O109" s="147"/>
      <c r="P109" s="147"/>
      <c r="Q109" s="147"/>
      <c r="R109" s="147"/>
      <c r="S109" s="147"/>
      <c r="T109" s="147"/>
      <c r="U109" s="147"/>
      <c r="V109" s="147"/>
      <c r="W109" s="147"/>
      <c r="X109" s="147"/>
      <c r="Y109" s="147"/>
      <c r="Z109" s="7"/>
      <c r="AA109" s="7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</row>
    <row r="110" spans="2:39" ht="12" x14ac:dyDescent="0.3">
      <c r="B110" s="155"/>
      <c r="C110" s="236"/>
      <c r="D110" s="155"/>
      <c r="E110" s="155"/>
      <c r="F110" s="147"/>
      <c r="G110" s="147"/>
      <c r="H110" s="147"/>
      <c r="I110" s="147"/>
      <c r="J110" s="147"/>
      <c r="K110" s="147"/>
      <c r="L110" s="147"/>
      <c r="M110" s="147"/>
      <c r="N110" s="147"/>
      <c r="O110" s="147"/>
      <c r="P110" s="147"/>
      <c r="Q110" s="147"/>
      <c r="R110" s="147"/>
      <c r="S110" s="147"/>
      <c r="T110" s="147"/>
      <c r="U110" s="147"/>
      <c r="V110" s="147"/>
      <c r="W110" s="147"/>
      <c r="X110" s="147"/>
      <c r="Y110" s="147"/>
      <c r="Z110" s="7"/>
      <c r="AA110" s="7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</row>
    <row r="111" spans="2:39" ht="39" customHeight="1" x14ac:dyDescent="0.55000000000000004">
      <c r="B111" s="164" t="s">
        <v>516</v>
      </c>
      <c r="C111" s="165"/>
      <c r="D111" s="165"/>
      <c r="E111" s="165"/>
      <c r="F111" s="165"/>
      <c r="G111" s="165"/>
      <c r="H111" s="165"/>
      <c r="I111" s="165"/>
      <c r="J111" s="165"/>
      <c r="K111" s="165"/>
      <c r="L111" s="165"/>
      <c r="M111" s="165"/>
      <c r="N111" s="165"/>
      <c r="O111" s="165"/>
      <c r="P111" s="165"/>
      <c r="Q111" s="165"/>
      <c r="R111" s="165"/>
      <c r="S111" s="165"/>
      <c r="T111" s="165"/>
      <c r="U111" s="165"/>
      <c r="V111" s="165"/>
      <c r="W111" s="165"/>
      <c r="X111" s="165"/>
    </row>
    <row r="112" spans="2:39" ht="37.5" customHeight="1" x14ac:dyDescent="0.3">
      <c r="B112" s="166" t="s">
        <v>533</v>
      </c>
      <c r="C112" s="167"/>
      <c r="D112" s="167"/>
      <c r="E112" s="167"/>
      <c r="F112" s="167"/>
      <c r="G112" s="167"/>
      <c r="H112" s="167"/>
      <c r="I112" s="167"/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/>
      <c r="V112" s="167"/>
      <c r="W112" s="167"/>
      <c r="X112" s="167"/>
      <c r="Y112" s="30"/>
      <c r="Z112" s="30"/>
    </row>
    <row r="113" spans="2:35" ht="12.75" customHeight="1" x14ac:dyDescent="0.3">
      <c r="B113" s="162"/>
      <c r="C113" s="168"/>
      <c r="D113" s="161"/>
      <c r="E113" s="161"/>
      <c r="F113" s="222" t="s">
        <v>220</v>
      </c>
      <c r="G113" s="223"/>
      <c r="H113" s="224"/>
      <c r="I113" s="222" t="s">
        <v>663</v>
      </c>
      <c r="J113" s="225"/>
      <c r="K113" s="226"/>
      <c r="L113" s="222" t="s">
        <v>532</v>
      </c>
      <c r="M113" s="225"/>
      <c r="N113" s="226"/>
      <c r="O113" s="222" t="s">
        <v>526</v>
      </c>
      <c r="P113" s="225"/>
      <c r="Q113" s="226"/>
      <c r="R113" s="222" t="s">
        <v>287</v>
      </c>
      <c r="S113" s="225"/>
      <c r="T113" s="226"/>
      <c r="U113" s="413" t="s">
        <v>527</v>
      </c>
      <c r="V113" s="226"/>
      <c r="W113" s="226"/>
      <c r="X113" s="161" t="s">
        <v>213</v>
      </c>
      <c r="Y113" s="30"/>
      <c r="Z113" s="30"/>
    </row>
    <row r="114" spans="2:35" ht="12.75" customHeight="1" x14ac:dyDescent="0.3">
      <c r="B114" s="159" t="s">
        <v>0</v>
      </c>
      <c r="C114" s="170" t="s">
        <v>166</v>
      </c>
      <c r="D114" s="160" t="s">
        <v>2</v>
      </c>
      <c r="E114" s="160" t="s">
        <v>3</v>
      </c>
      <c r="F114" s="217" t="s">
        <v>523</v>
      </c>
      <c r="G114" s="218"/>
      <c r="H114" s="219"/>
      <c r="I114" s="217" t="s">
        <v>525</v>
      </c>
      <c r="J114" s="220"/>
      <c r="K114" s="221"/>
      <c r="L114" s="217" t="s">
        <v>664</v>
      </c>
      <c r="M114" s="220"/>
      <c r="N114" s="221"/>
      <c r="O114" s="217" t="s">
        <v>529</v>
      </c>
      <c r="P114" s="220"/>
      <c r="Q114" s="221"/>
      <c r="R114" s="217" t="s">
        <v>530</v>
      </c>
      <c r="S114" s="220"/>
      <c r="T114" s="221"/>
      <c r="U114" s="414" t="s">
        <v>528</v>
      </c>
      <c r="V114" s="255"/>
      <c r="W114" s="415"/>
      <c r="X114" s="160" t="s">
        <v>9</v>
      </c>
      <c r="Y114" s="519" t="s">
        <v>223</v>
      </c>
      <c r="Z114" s="521" t="s">
        <v>4</v>
      </c>
    </row>
    <row r="115" spans="2:35" ht="12.75" customHeight="1" thickBot="1" x14ac:dyDescent="0.35">
      <c r="B115" s="163"/>
      <c r="C115" s="169"/>
      <c r="D115" s="157"/>
      <c r="E115" s="157"/>
      <c r="F115" s="131" t="s">
        <v>33</v>
      </c>
      <c r="G115" s="131" t="s">
        <v>34</v>
      </c>
      <c r="H115" s="132" t="s">
        <v>35</v>
      </c>
      <c r="I115" s="131" t="s">
        <v>33</v>
      </c>
      <c r="J115" s="131" t="s">
        <v>34</v>
      </c>
      <c r="K115" s="132" t="s">
        <v>35</v>
      </c>
      <c r="L115" s="131" t="s">
        <v>33</v>
      </c>
      <c r="M115" s="131" t="s">
        <v>34</v>
      </c>
      <c r="N115" s="132" t="s">
        <v>35</v>
      </c>
      <c r="O115" s="131" t="s">
        <v>33</v>
      </c>
      <c r="P115" s="131" t="s">
        <v>34</v>
      </c>
      <c r="Q115" s="132" t="s">
        <v>35</v>
      </c>
      <c r="R115" s="131" t="s">
        <v>33</v>
      </c>
      <c r="S115" s="131" t="s">
        <v>34</v>
      </c>
      <c r="T115" s="132" t="s">
        <v>35</v>
      </c>
      <c r="U115" s="131" t="s">
        <v>33</v>
      </c>
      <c r="V115" s="131" t="s">
        <v>34</v>
      </c>
      <c r="W115" s="132" t="s">
        <v>35</v>
      </c>
      <c r="X115" s="157"/>
      <c r="Y115" s="520"/>
      <c r="Z115" s="522"/>
    </row>
    <row r="116" spans="2:35" ht="12.75" customHeight="1" thickBot="1" x14ac:dyDescent="0.35">
      <c r="B116" s="133">
        <v>1</v>
      </c>
      <c r="C116" s="142" t="s">
        <v>575</v>
      </c>
      <c r="D116" s="484">
        <v>2</v>
      </c>
      <c r="E116" s="477" t="str">
        <f t="shared" ref="E116:E133" si="20">LEFT(AB116,LEN(AB116)-2)</f>
        <v>2</v>
      </c>
      <c r="F116" s="135">
        <f>IFERROR(VLOOKUP(C116,'01_RS ALCARRIA'!$F$6:$R$36,13,FALSE),"")</f>
        <v>25</v>
      </c>
      <c r="G116" s="135">
        <f>IFERROR(VLOOKUP(C116,'01_RS ALCARRIA'!$F$6:$T$36,15,FALSE),"")</f>
        <v>10</v>
      </c>
      <c r="H116" s="138">
        <f t="shared" ref="H116:H130" si="21">(F116+G116)*2</f>
        <v>70</v>
      </c>
      <c r="I116" s="135"/>
      <c r="J116" s="135"/>
      <c r="K116" s="138"/>
      <c r="L116" s="135"/>
      <c r="M116" s="135"/>
      <c r="N116" s="138"/>
      <c r="O116" s="135"/>
      <c r="P116" s="135"/>
      <c r="Q116" s="138"/>
      <c r="R116" s="135"/>
      <c r="S116" s="135"/>
      <c r="T116" s="138"/>
      <c r="U116" s="135"/>
      <c r="V116" s="135"/>
      <c r="W116" s="138"/>
      <c r="X116" s="139">
        <f t="shared" ref="X116:X136" si="22">H116+K116+N116+Q116+T116+W116</f>
        <v>70</v>
      </c>
      <c r="Y116" s="140" t="str">
        <f>IF(Z116&gt;=3,"Sí","No")</f>
        <v>No</v>
      </c>
      <c r="Z116" s="141">
        <f>COUNTA(H116,K116,N116,Q116,T116,W116)</f>
        <v>1</v>
      </c>
      <c r="AA116" s="148"/>
      <c r="AB116" s="262" t="str">
        <f>IFERROR(VLOOKUP(C116,Tabla15[[Piloto2]:[Puntos clase5]],4, FALSE), " ")</f>
        <v>2RM</v>
      </c>
    </row>
    <row r="117" spans="2:35" ht="12.75" customHeight="1" x14ac:dyDescent="0.3">
      <c r="B117" s="133">
        <v>2</v>
      </c>
      <c r="C117" s="142" t="s">
        <v>577</v>
      </c>
      <c r="D117" s="481">
        <v>2</v>
      </c>
      <c r="E117" s="483" t="str">
        <f t="shared" si="20"/>
        <v>2</v>
      </c>
      <c r="F117" s="135">
        <f>IFERROR(VLOOKUP(C117,'01_RS ALCARRIA'!$F$6:$R$36,13,FALSE),"")</f>
        <v>20</v>
      </c>
      <c r="G117" s="135">
        <f>IFERROR(VLOOKUP(C117,'01_RS ALCARRIA'!$F$6:$T$36,15,FALSE),"")</f>
        <v>8</v>
      </c>
      <c r="H117" s="138">
        <f t="shared" si="21"/>
        <v>56</v>
      </c>
      <c r="I117" s="135"/>
      <c r="J117" s="135"/>
      <c r="K117" s="138"/>
      <c r="L117" s="135"/>
      <c r="M117" s="135"/>
      <c r="N117" s="138"/>
      <c r="O117" s="135"/>
      <c r="P117" s="135"/>
      <c r="Q117" s="138"/>
      <c r="R117" s="135"/>
      <c r="S117" s="135"/>
      <c r="T117" s="138"/>
      <c r="U117" s="135"/>
      <c r="V117" s="135"/>
      <c r="W117" s="138"/>
      <c r="X117" s="139">
        <f t="shared" si="22"/>
        <v>56</v>
      </c>
      <c r="Y117" s="140" t="str">
        <f t="shared" ref="Y117:Y136" si="23">IF(Z117&gt;=3,"Sí","No")</f>
        <v>No</v>
      </c>
      <c r="Z117" s="141">
        <f t="shared" ref="Z117:Z136" si="24">COUNTA(H117,K117,N117,Q117,T117,W117)</f>
        <v>1</v>
      </c>
      <c r="AA117" s="148"/>
      <c r="AB117" s="262" t="str">
        <f>IFERROR(VLOOKUP(C117,Tabla15[[Piloto2]:[Puntos clase5]],4, FALSE), " ")</f>
        <v>2RM</v>
      </c>
    </row>
    <row r="118" spans="2:35" ht="12.75" customHeight="1" x14ac:dyDescent="0.3">
      <c r="B118" s="133">
        <v>1</v>
      </c>
      <c r="C118" s="142" t="s">
        <v>590</v>
      </c>
      <c r="D118" s="486">
        <v>3</v>
      </c>
      <c r="E118" s="483" t="str">
        <f t="shared" si="20"/>
        <v>2</v>
      </c>
      <c r="F118" s="135">
        <f>IFERROR(VLOOKUP(C118,'01_RS ALCARRIA'!$F$6:$R$36,13,FALSE),"")</f>
        <v>15</v>
      </c>
      <c r="G118" s="135">
        <f>IFERROR(VLOOKUP(C118,'01_RS ALCARRIA'!$F$6:$T$36,15,FALSE),"")</f>
        <v>10</v>
      </c>
      <c r="H118" s="138">
        <f t="shared" si="21"/>
        <v>50</v>
      </c>
      <c r="I118" s="135"/>
      <c r="J118" s="135"/>
      <c r="K118" s="138"/>
      <c r="L118" s="135"/>
      <c r="M118" s="135"/>
      <c r="N118" s="138"/>
      <c r="O118" s="135"/>
      <c r="P118" s="135"/>
      <c r="Q118" s="138"/>
      <c r="R118" s="135"/>
      <c r="S118" s="135"/>
      <c r="T118" s="138"/>
      <c r="U118" s="135"/>
      <c r="V118" s="135"/>
      <c r="W118" s="138"/>
      <c r="X118" s="139">
        <f t="shared" si="22"/>
        <v>50</v>
      </c>
      <c r="Y118" s="140" t="str">
        <f t="shared" si="23"/>
        <v>No</v>
      </c>
      <c r="Z118" s="141">
        <f t="shared" si="24"/>
        <v>1</v>
      </c>
      <c r="AA118" s="148"/>
      <c r="AB118" s="262" t="str">
        <f>IFERROR(VLOOKUP(C118,Tabla15[[Piloto2]:[Puntos clase5]],4, FALSE), " ")</f>
        <v>2RM</v>
      </c>
    </row>
    <row r="119" spans="2:35" ht="12.75" customHeight="1" x14ac:dyDescent="0.3">
      <c r="B119" s="133">
        <v>1</v>
      </c>
      <c r="C119" s="134" t="s">
        <v>589</v>
      </c>
      <c r="D119" s="485">
        <v>1</v>
      </c>
      <c r="E119" s="482" t="str">
        <f t="shared" si="20"/>
        <v>4</v>
      </c>
      <c r="F119" s="135">
        <f>IFERROR(VLOOKUP(C119,'01_RS ALCARRIA'!$F$6:$R$36,13,FALSE),"")</f>
        <v>17</v>
      </c>
      <c r="G119" s="284">
        <f>IFERROR(VLOOKUP(C119,'01_RS ALCARRIA'!$F$6:$T$36,15,FALSE),"")/2</f>
        <v>5</v>
      </c>
      <c r="H119" s="138">
        <f t="shared" si="21"/>
        <v>44</v>
      </c>
      <c r="I119" s="135"/>
      <c r="J119" s="135"/>
      <c r="K119" s="138"/>
      <c r="L119" s="135"/>
      <c r="M119" s="135"/>
      <c r="N119" s="138"/>
      <c r="O119" s="135"/>
      <c r="P119" s="135"/>
      <c r="Q119" s="138"/>
      <c r="R119" s="135"/>
      <c r="S119" s="135"/>
      <c r="T119" s="138"/>
      <c r="U119" s="135"/>
      <c r="V119" s="135"/>
      <c r="W119" s="138"/>
      <c r="X119" s="139">
        <f t="shared" si="22"/>
        <v>44</v>
      </c>
      <c r="Y119" s="140" t="str">
        <f t="shared" si="23"/>
        <v>No</v>
      </c>
      <c r="Z119" s="141">
        <f t="shared" si="24"/>
        <v>1</v>
      </c>
      <c r="AA119" s="148"/>
      <c r="AB119" s="262" t="str">
        <f>IFERROR(VLOOKUP(C119,Tabla15[[Piloto2]:[Puntos clase5]],4, FALSE), " ")</f>
        <v>4RM</v>
      </c>
    </row>
    <row r="120" spans="2:35" ht="12.75" customHeight="1" x14ac:dyDescent="0.3">
      <c r="B120" s="133">
        <v>2</v>
      </c>
      <c r="C120" s="142" t="s">
        <v>457</v>
      </c>
      <c r="D120" s="482">
        <v>3</v>
      </c>
      <c r="E120" s="482" t="str">
        <f t="shared" si="20"/>
        <v>2</v>
      </c>
      <c r="F120" s="135">
        <f>IFERROR(VLOOKUP(C120,'01_RS ALCARRIA'!$F$6:$R$36,13,FALSE),"")</f>
        <v>12</v>
      </c>
      <c r="G120" s="135">
        <f>IFERROR(VLOOKUP(C120,'01_RS ALCARRIA'!$F$6:$T$36,15,FALSE),"")</f>
        <v>8</v>
      </c>
      <c r="H120" s="138">
        <f t="shared" si="21"/>
        <v>40</v>
      </c>
      <c r="I120" s="135"/>
      <c r="J120" s="135"/>
      <c r="K120" s="138"/>
      <c r="L120" s="135"/>
      <c r="M120" s="135"/>
      <c r="N120" s="138"/>
      <c r="O120" s="135"/>
      <c r="P120" s="135"/>
      <c r="Q120" s="138"/>
      <c r="R120" s="135"/>
      <c r="S120" s="135"/>
      <c r="T120" s="138"/>
      <c r="U120" s="135"/>
      <c r="V120" s="135"/>
      <c r="W120" s="138"/>
      <c r="X120" s="139">
        <f t="shared" si="22"/>
        <v>40</v>
      </c>
      <c r="Y120" s="140" t="str">
        <f t="shared" si="23"/>
        <v>No</v>
      </c>
      <c r="Z120" s="141">
        <f t="shared" si="24"/>
        <v>1</v>
      </c>
      <c r="AA120" s="148"/>
      <c r="AB120" s="262" t="str">
        <f>IFERROR(VLOOKUP(C120,Tabla15[[Piloto2]:[Puntos clase5]],4, FALSE), " ")</f>
        <v>2RM</v>
      </c>
    </row>
    <row r="121" spans="2:35" ht="12.75" customHeight="1" x14ac:dyDescent="0.3">
      <c r="B121" s="133">
        <v>3</v>
      </c>
      <c r="C121" s="142" t="s">
        <v>594</v>
      </c>
      <c r="D121" s="482">
        <v>3</v>
      </c>
      <c r="E121" s="482" t="str">
        <f t="shared" si="20"/>
        <v>2</v>
      </c>
      <c r="F121" s="135">
        <f>IFERROR(VLOOKUP(C121,'01_RS ALCARRIA'!$F$6:$R$36,13,FALSE),"")</f>
        <v>10</v>
      </c>
      <c r="G121" s="135">
        <f>IFERROR(VLOOKUP(C121,'01_RS ALCARRIA'!$F$6:$T$36,15,FALSE),"")</f>
        <v>6</v>
      </c>
      <c r="H121" s="138">
        <f t="shared" si="21"/>
        <v>32</v>
      </c>
      <c r="I121" s="135"/>
      <c r="J121" s="135"/>
      <c r="K121" s="138"/>
      <c r="L121" s="135"/>
      <c r="M121" s="135"/>
      <c r="N121" s="138"/>
      <c r="O121" s="135"/>
      <c r="P121" s="135"/>
      <c r="Q121" s="138"/>
      <c r="R121" s="135"/>
      <c r="S121" s="135"/>
      <c r="T121" s="138"/>
      <c r="U121" s="135"/>
      <c r="V121" s="135"/>
      <c r="W121" s="138"/>
      <c r="X121" s="139">
        <f t="shared" si="22"/>
        <v>32</v>
      </c>
      <c r="Y121" s="140" t="str">
        <f t="shared" si="23"/>
        <v>No</v>
      </c>
      <c r="Z121" s="141">
        <f t="shared" si="24"/>
        <v>1</v>
      </c>
      <c r="AA121" s="148"/>
      <c r="AB121" s="262" t="str">
        <f>IFERROR(VLOOKUP(C121,Tabla15[[Piloto2]:[Puntos clase5]],4, FALSE), " ")</f>
        <v>2RM</v>
      </c>
    </row>
    <row r="122" spans="2:35" ht="12.75" customHeight="1" x14ac:dyDescent="0.3">
      <c r="B122" s="133">
        <v>1</v>
      </c>
      <c r="C122" s="142" t="s">
        <v>598</v>
      </c>
      <c r="D122" s="486">
        <v>5</v>
      </c>
      <c r="E122" s="482" t="str">
        <f t="shared" si="20"/>
        <v>2</v>
      </c>
      <c r="F122" s="135">
        <f>IFERROR(VLOOKUP(C122,'01_RS ALCARRIA'!$F$6:$R$36,13,FALSE),"")</f>
        <v>6</v>
      </c>
      <c r="G122" s="135">
        <f>IFERROR(VLOOKUP(C122,'01_RS ALCARRIA'!$F$6:$T$36,15,FALSE),"")</f>
        <v>10</v>
      </c>
      <c r="H122" s="138">
        <f t="shared" si="21"/>
        <v>32</v>
      </c>
      <c r="I122" s="135"/>
      <c r="J122" s="135"/>
      <c r="K122" s="138"/>
      <c r="L122" s="135"/>
      <c r="M122" s="135"/>
      <c r="N122" s="138"/>
      <c r="O122" s="135"/>
      <c r="P122" s="135"/>
      <c r="Q122" s="138"/>
      <c r="R122" s="135"/>
      <c r="S122" s="135"/>
      <c r="T122" s="138"/>
      <c r="U122" s="135"/>
      <c r="V122" s="135"/>
      <c r="W122" s="138"/>
      <c r="X122" s="139">
        <f t="shared" si="22"/>
        <v>32</v>
      </c>
      <c r="Y122" s="140" t="str">
        <f t="shared" si="23"/>
        <v>No</v>
      </c>
      <c r="Z122" s="141">
        <f t="shared" si="24"/>
        <v>1</v>
      </c>
      <c r="AA122" s="148"/>
      <c r="AB122" s="262" t="str">
        <f>IFERROR(VLOOKUP(C122,Tabla15[[Piloto2]:[Puntos clase5]],4, FALSE), " ")</f>
        <v>2RM</v>
      </c>
    </row>
    <row r="123" spans="2:35" ht="12.75" customHeight="1" x14ac:dyDescent="0.3">
      <c r="B123" s="133">
        <v>4</v>
      </c>
      <c r="C123" s="142" t="s">
        <v>596</v>
      </c>
      <c r="D123" s="482">
        <v>3</v>
      </c>
      <c r="E123" s="482" t="str">
        <f t="shared" si="20"/>
        <v>2</v>
      </c>
      <c r="F123" s="135">
        <f>IFERROR(VLOOKUP(C123,'01_RS ALCARRIA'!$F$6:$R$36,13,FALSE),"")</f>
        <v>8</v>
      </c>
      <c r="G123" s="135">
        <f>IFERROR(VLOOKUP(C123,'01_RS ALCARRIA'!$F$6:$T$36,15,FALSE),"")</f>
        <v>5</v>
      </c>
      <c r="H123" s="138">
        <f t="shared" si="21"/>
        <v>26</v>
      </c>
      <c r="I123" s="135"/>
      <c r="J123" s="135"/>
      <c r="K123" s="138"/>
      <c r="L123" s="135"/>
      <c r="M123" s="135"/>
      <c r="N123" s="138"/>
      <c r="O123" s="135"/>
      <c r="P123" s="135"/>
      <c r="Q123" s="138"/>
      <c r="R123" s="135"/>
      <c r="S123" s="135"/>
      <c r="T123" s="138"/>
      <c r="U123" s="135"/>
      <c r="V123" s="135"/>
      <c r="W123" s="138"/>
      <c r="X123" s="139">
        <f t="shared" si="22"/>
        <v>26</v>
      </c>
      <c r="Y123" s="140" t="str">
        <f t="shared" si="23"/>
        <v>No</v>
      </c>
      <c r="Z123" s="141">
        <f t="shared" si="24"/>
        <v>1</v>
      </c>
      <c r="AA123" s="148"/>
      <c r="AB123" s="262" t="str">
        <f>IFERROR(VLOOKUP(C123,Tabla15[[Piloto2]:[Puntos clase5]],4, FALSE), " ")</f>
        <v>2RM</v>
      </c>
    </row>
    <row r="124" spans="2:35" ht="12.75" customHeight="1" x14ac:dyDescent="0.3">
      <c r="B124" s="133">
        <v>5</v>
      </c>
      <c r="C124" s="142" t="s">
        <v>605</v>
      </c>
      <c r="D124" s="482">
        <v>3</v>
      </c>
      <c r="E124" s="482" t="str">
        <f t="shared" si="20"/>
        <v>2</v>
      </c>
      <c r="F124" s="135">
        <f>IFERROR(VLOOKUP(C124,'01_RS ALCARRIA'!$F$6:$R$36,13,FALSE),"")</f>
        <v>5</v>
      </c>
      <c r="G124" s="135">
        <f>IFERROR(VLOOKUP(C124,'01_RS ALCARRIA'!$F$6:$T$36,15,FALSE),"")</f>
        <v>3</v>
      </c>
      <c r="H124" s="138">
        <f t="shared" si="21"/>
        <v>16</v>
      </c>
      <c r="I124" s="135"/>
      <c r="J124" s="135"/>
      <c r="K124" s="138"/>
      <c r="L124" s="135"/>
      <c r="M124" s="135"/>
      <c r="N124" s="138"/>
      <c r="O124" s="135"/>
      <c r="P124" s="135"/>
      <c r="Q124" s="138"/>
      <c r="R124" s="135"/>
      <c r="S124" s="135"/>
      <c r="T124" s="138"/>
      <c r="U124" s="135"/>
      <c r="V124" s="135"/>
      <c r="W124" s="138"/>
      <c r="X124" s="139">
        <f t="shared" si="22"/>
        <v>16</v>
      </c>
      <c r="Y124" s="140" t="str">
        <f t="shared" si="23"/>
        <v>No</v>
      </c>
      <c r="Z124" s="141">
        <f t="shared" si="24"/>
        <v>1</v>
      </c>
      <c r="AA124" s="148"/>
      <c r="AB124" s="262" t="str">
        <f>IFERROR(VLOOKUP(C124,Tabla15[[Piloto2]:[Puntos clase5]],4, FALSE), " ")</f>
        <v>2RM</v>
      </c>
    </row>
    <row r="125" spans="2:35" ht="12.75" customHeight="1" x14ac:dyDescent="0.3">
      <c r="B125" s="133">
        <v>6</v>
      </c>
      <c r="C125" s="142" t="s">
        <v>212</v>
      </c>
      <c r="D125" s="482">
        <v>3</v>
      </c>
      <c r="E125" s="482" t="str">
        <f t="shared" si="20"/>
        <v>2</v>
      </c>
      <c r="F125" s="135">
        <f>IFERROR(VLOOKUP(C125,'01_RS ALCARRIA'!$F$6:$R$36,13,FALSE),"")</f>
        <v>4</v>
      </c>
      <c r="G125" s="135">
        <f>IFERROR(VLOOKUP(C125,'01_RS ALCARRIA'!$F$6:$T$36,15,FALSE),"")</f>
        <v>1</v>
      </c>
      <c r="H125" s="138">
        <f t="shared" si="21"/>
        <v>10</v>
      </c>
      <c r="I125" s="135"/>
      <c r="J125" s="135"/>
      <c r="K125" s="138"/>
      <c r="L125" s="135"/>
      <c r="M125" s="135"/>
      <c r="N125" s="138"/>
      <c r="O125" s="135"/>
      <c r="P125" s="135"/>
      <c r="Q125" s="138"/>
      <c r="R125" s="135"/>
      <c r="S125" s="135"/>
      <c r="T125" s="138"/>
      <c r="U125" s="135"/>
      <c r="V125" s="135"/>
      <c r="W125" s="138"/>
      <c r="X125" s="139">
        <f t="shared" si="22"/>
        <v>10</v>
      </c>
      <c r="Y125" s="140" t="str">
        <f t="shared" si="23"/>
        <v>No</v>
      </c>
      <c r="Z125" s="141">
        <f t="shared" si="24"/>
        <v>1</v>
      </c>
      <c r="AA125" s="148"/>
      <c r="AB125" s="262" t="str">
        <f>IFERROR(VLOOKUP(C125,Tabla15[[Piloto2]:[Puntos clase5]],4, FALSE), " ")</f>
        <v>2RM</v>
      </c>
    </row>
    <row r="126" spans="2:35" ht="12.75" customHeight="1" x14ac:dyDescent="0.3">
      <c r="B126" s="133">
        <v>1</v>
      </c>
      <c r="C126" s="134" t="s">
        <v>625</v>
      </c>
      <c r="D126" s="486">
        <v>4</v>
      </c>
      <c r="E126" s="482" t="str">
        <f t="shared" si="20"/>
        <v>2</v>
      </c>
      <c r="F126" s="135">
        <f>IFERROR(VLOOKUP(C126,'01_RS ALCARRIA'!$F$6:$R$36,13,FALSE),"")</f>
        <v>0</v>
      </c>
      <c r="G126" s="284">
        <f>IFERROR(VLOOKUP(C126,'01_RS ALCARRIA'!$F$6:$T$36,15,FALSE),"")/2</f>
        <v>5</v>
      </c>
      <c r="H126" s="138">
        <f t="shared" si="21"/>
        <v>10</v>
      </c>
      <c r="I126" s="135"/>
      <c r="J126" s="135"/>
      <c r="K126" s="138"/>
      <c r="L126" s="135"/>
      <c r="M126" s="135"/>
      <c r="N126" s="138"/>
      <c r="O126" s="135"/>
      <c r="P126" s="135"/>
      <c r="Q126" s="138"/>
      <c r="R126" s="135"/>
      <c r="S126" s="135"/>
      <c r="T126" s="138"/>
      <c r="U126" s="135"/>
      <c r="V126" s="135"/>
      <c r="W126" s="138"/>
      <c r="X126" s="139">
        <f t="shared" si="22"/>
        <v>10</v>
      </c>
      <c r="Y126" s="140" t="str">
        <f t="shared" si="23"/>
        <v>No</v>
      </c>
      <c r="Z126" s="141">
        <f t="shared" si="24"/>
        <v>1</v>
      </c>
      <c r="AA126" s="148"/>
      <c r="AB126" s="262" t="str">
        <f>IFERROR(VLOOKUP(C126,Tabla15[[Piloto2]:[Puntos clase5]],4, FALSE), " ")</f>
        <v>2RM</v>
      </c>
      <c r="AC126" s="232" t="s">
        <v>271</v>
      </c>
      <c r="AD126" s="229"/>
      <c r="AE126" s="229"/>
      <c r="AF126" s="229"/>
      <c r="AG126" s="229"/>
      <c r="AH126" s="229"/>
      <c r="AI126" s="230"/>
    </row>
    <row r="127" spans="2:35" ht="12.75" customHeight="1" x14ac:dyDescent="0.3">
      <c r="B127" s="133">
        <v>7</v>
      </c>
      <c r="C127" s="142" t="s">
        <v>608</v>
      </c>
      <c r="D127" s="482">
        <v>3</v>
      </c>
      <c r="E127" s="482" t="str">
        <f t="shared" si="20"/>
        <v>2</v>
      </c>
      <c r="F127" s="135">
        <f>IFERROR(VLOOKUP(C127,'01_RS ALCARRIA'!$F$6:$R$36,13,FALSE),"")</f>
        <v>3</v>
      </c>
      <c r="G127" s="135">
        <f>IFERROR(VLOOKUP(C127,'01_RS ALCARRIA'!$F$6:$T$36,15,FALSE),"")</f>
        <v>0</v>
      </c>
      <c r="H127" s="138">
        <f t="shared" si="21"/>
        <v>6</v>
      </c>
      <c r="I127" s="135"/>
      <c r="J127" s="135"/>
      <c r="K127" s="138"/>
      <c r="L127" s="135"/>
      <c r="M127" s="135"/>
      <c r="N127" s="138"/>
      <c r="O127" s="135"/>
      <c r="P127" s="135"/>
      <c r="Q127" s="138"/>
      <c r="R127" s="135"/>
      <c r="S127" s="135"/>
      <c r="T127" s="138"/>
      <c r="U127" s="135"/>
      <c r="V127" s="135"/>
      <c r="W127" s="138"/>
      <c r="X127" s="139">
        <f t="shared" si="22"/>
        <v>6</v>
      </c>
      <c r="Y127" s="140" t="str">
        <f t="shared" si="23"/>
        <v>No</v>
      </c>
      <c r="Z127" s="141">
        <f t="shared" si="24"/>
        <v>1</v>
      </c>
      <c r="AA127" s="148"/>
      <c r="AB127" s="262" t="str">
        <f>IFERROR(VLOOKUP(C127,Tabla15[[Piloto2]:[Puntos clase5]],4, FALSE), " ")</f>
        <v>2RM</v>
      </c>
      <c r="AC127" s="8" t="s">
        <v>272</v>
      </c>
      <c r="AD127" s="8">
        <v>1</v>
      </c>
      <c r="AE127" s="8">
        <v>2</v>
      </c>
      <c r="AF127" s="8">
        <v>3</v>
      </c>
      <c r="AG127" s="8">
        <v>4</v>
      </c>
      <c r="AH127" s="8">
        <v>5</v>
      </c>
      <c r="AI127" s="8" t="s">
        <v>9</v>
      </c>
    </row>
    <row r="128" spans="2:35" ht="12.75" customHeight="1" x14ac:dyDescent="0.3">
      <c r="B128" s="133">
        <v>8</v>
      </c>
      <c r="C128" s="142" t="s">
        <v>611</v>
      </c>
      <c r="D128" s="482">
        <v>3</v>
      </c>
      <c r="E128" s="482" t="str">
        <f t="shared" si="20"/>
        <v>2</v>
      </c>
      <c r="F128" s="135">
        <f>IFERROR(VLOOKUP(C128,'01_RS ALCARRIA'!$F$6:$R$36,13,FALSE),"")</f>
        <v>2</v>
      </c>
      <c r="G128" s="135">
        <f>IFERROR(VLOOKUP(C128,'01_RS ALCARRIA'!$F$6:$T$36,15,FALSE),"")</f>
        <v>0</v>
      </c>
      <c r="H128" s="138">
        <f t="shared" si="21"/>
        <v>4</v>
      </c>
      <c r="I128" s="135"/>
      <c r="J128" s="135"/>
      <c r="K128" s="138"/>
      <c r="L128" s="135"/>
      <c r="M128" s="135"/>
      <c r="N128" s="138"/>
      <c r="O128" s="135"/>
      <c r="P128" s="135"/>
      <c r="Q128" s="138"/>
      <c r="R128" s="135"/>
      <c r="S128" s="135"/>
      <c r="T128" s="138"/>
      <c r="U128" s="135"/>
      <c r="V128" s="135"/>
      <c r="W128" s="138"/>
      <c r="X128" s="139">
        <f t="shared" si="22"/>
        <v>4</v>
      </c>
      <c r="Y128" s="140" t="str">
        <f t="shared" si="23"/>
        <v>No</v>
      </c>
      <c r="Z128" s="141">
        <f t="shared" si="24"/>
        <v>1</v>
      </c>
      <c r="AA128" s="148"/>
      <c r="AB128" s="262" t="str">
        <f>IFERROR(VLOOKUP(C128,Tabla15[[Piloto2]:[Puntos clase5]],4, FALSE), " ")</f>
        <v>2RM</v>
      </c>
      <c r="AC128" s="8">
        <f>COUNTA(C43:C62)</f>
        <v>20</v>
      </c>
      <c r="AD128" s="8">
        <f>COUNTIF($D$6:$D$25,AD127)</f>
        <v>2</v>
      </c>
      <c r="AE128" s="8">
        <f>COUNTIF($D$6:$D$25,AE127)</f>
        <v>3</v>
      </c>
      <c r="AF128" s="8">
        <f>COUNTIF($D$6:$D$25,AF127)</f>
        <v>10</v>
      </c>
      <c r="AG128" s="8">
        <f>COUNTIF($D$6:$D$25,AG127)</f>
        <v>4</v>
      </c>
      <c r="AH128" s="8">
        <f>COUNTIF($D$6:$D$25,AH127)</f>
        <v>1</v>
      </c>
      <c r="AI128" s="231">
        <f>SUM(AD128:AH128)</f>
        <v>20</v>
      </c>
    </row>
    <row r="129" spans="2:39" ht="12.75" customHeight="1" x14ac:dyDescent="0.3">
      <c r="B129" s="133">
        <v>9</v>
      </c>
      <c r="C129" s="142" t="s">
        <v>613</v>
      </c>
      <c r="D129" s="482">
        <v>3</v>
      </c>
      <c r="E129" s="482" t="str">
        <f t="shared" si="20"/>
        <v>2</v>
      </c>
      <c r="F129" s="135">
        <f>IFERROR(VLOOKUP(C129,'01_RS ALCARRIA'!$F$6:$R$36,13,FALSE),"")</f>
        <v>1</v>
      </c>
      <c r="G129" s="135">
        <f>IFERROR(VLOOKUP(C129,'01_RS ALCARRIA'!$F$6:$T$36,15,FALSE),"")</f>
        <v>0</v>
      </c>
      <c r="H129" s="138">
        <f t="shared" si="21"/>
        <v>2</v>
      </c>
      <c r="I129" s="135"/>
      <c r="J129" s="135"/>
      <c r="K129" s="138"/>
      <c r="L129" s="135"/>
      <c r="M129" s="135"/>
      <c r="N129" s="138"/>
      <c r="O129" s="135"/>
      <c r="P129" s="135"/>
      <c r="Q129" s="138"/>
      <c r="R129" s="135"/>
      <c r="S129" s="135"/>
      <c r="T129" s="138"/>
      <c r="U129" s="135"/>
      <c r="V129" s="135"/>
      <c r="W129" s="138"/>
      <c r="X129" s="139">
        <f t="shared" si="22"/>
        <v>2</v>
      </c>
      <c r="Y129" s="140" t="str">
        <f t="shared" si="23"/>
        <v>No</v>
      </c>
      <c r="Z129" s="141">
        <f t="shared" si="24"/>
        <v>1</v>
      </c>
      <c r="AA129" s="148"/>
      <c r="AB129" s="262" t="str">
        <f>IFERROR(VLOOKUP(C129,Tabla15[[Piloto2]:[Puntos clase5]],4, FALSE), " ")</f>
        <v>2RM</v>
      </c>
    </row>
    <row r="130" spans="2:39" ht="12.75" customHeight="1" x14ac:dyDescent="0.3">
      <c r="B130" s="133" t="s">
        <v>658</v>
      </c>
      <c r="C130" s="142" t="s">
        <v>620</v>
      </c>
      <c r="D130" s="482">
        <v>3</v>
      </c>
      <c r="E130" s="482" t="str">
        <f t="shared" si="20"/>
        <v>2</v>
      </c>
      <c r="F130" s="135">
        <f>IFERROR(VLOOKUP(C130,'01_RS ALCARRIA'!$F$6:$R$36,13,FALSE),"")</f>
        <v>0</v>
      </c>
      <c r="G130" s="135">
        <f>IFERROR(VLOOKUP(C130,'01_RS ALCARRIA'!$F$6:$T$36,15,FALSE),"")</f>
        <v>0</v>
      </c>
      <c r="H130" s="138">
        <f t="shared" si="21"/>
        <v>0</v>
      </c>
      <c r="I130" s="135"/>
      <c r="J130" s="135"/>
      <c r="K130" s="138"/>
      <c r="L130" s="135"/>
      <c r="M130" s="135"/>
      <c r="N130" s="138"/>
      <c r="O130" s="135"/>
      <c r="P130" s="135"/>
      <c r="Q130" s="138"/>
      <c r="R130" s="135"/>
      <c r="S130" s="135"/>
      <c r="T130" s="138"/>
      <c r="U130" s="135"/>
      <c r="V130" s="135"/>
      <c r="W130" s="138"/>
      <c r="X130" s="139">
        <f t="shared" si="22"/>
        <v>0</v>
      </c>
      <c r="Y130" s="140" t="str">
        <f t="shared" si="23"/>
        <v>No</v>
      </c>
      <c r="Z130" s="141">
        <f t="shared" si="24"/>
        <v>1</v>
      </c>
      <c r="AA130" s="7"/>
      <c r="AB130" s="262" t="str">
        <f>IFERROR(VLOOKUP(C130,Tabla15[[Piloto2]:[Puntos clase5]],4, FALSE), " ")</f>
        <v>2RM</v>
      </c>
      <c r="AC130" s="6"/>
    </row>
    <row r="131" spans="2:39" ht="12.75" customHeight="1" x14ac:dyDescent="0.3">
      <c r="B131" s="133" t="s">
        <v>658</v>
      </c>
      <c r="C131" s="142" t="s">
        <v>627</v>
      </c>
      <c r="D131" s="482">
        <v>5</v>
      </c>
      <c r="E131" s="482" t="str">
        <f t="shared" si="20"/>
        <v>4</v>
      </c>
      <c r="F131" s="135">
        <v>0</v>
      </c>
      <c r="G131" s="135">
        <v>0</v>
      </c>
      <c r="H131" s="138">
        <f t="shared" ref="H131:H136" si="25">(F131+G131)</f>
        <v>0</v>
      </c>
      <c r="I131" s="135"/>
      <c r="J131" s="135"/>
      <c r="K131" s="138"/>
      <c r="L131" s="135"/>
      <c r="M131" s="135"/>
      <c r="N131" s="138"/>
      <c r="O131" s="135"/>
      <c r="P131" s="135"/>
      <c r="Q131" s="138"/>
      <c r="R131" s="135"/>
      <c r="S131" s="135"/>
      <c r="T131" s="138"/>
      <c r="U131" s="135"/>
      <c r="V131" s="135"/>
      <c r="W131" s="138"/>
      <c r="X131" s="139">
        <f t="shared" si="22"/>
        <v>0</v>
      </c>
      <c r="Y131" s="140" t="str">
        <f t="shared" si="23"/>
        <v>No</v>
      </c>
      <c r="Z131" s="141">
        <f t="shared" si="24"/>
        <v>1</v>
      </c>
      <c r="AB131" s="262" t="str">
        <f>IFERROR(VLOOKUP(C131,Tabla15[[Piloto2]:[Puntos clase5]],4, FALSE), " ")</f>
        <v>4RM</v>
      </c>
      <c r="AC131" s="2"/>
    </row>
    <row r="132" spans="2:39" ht="12.75" customHeight="1" x14ac:dyDescent="0.3">
      <c r="B132" s="133" t="s">
        <v>658</v>
      </c>
      <c r="C132" s="142" t="s">
        <v>629</v>
      </c>
      <c r="D132" s="482">
        <v>2</v>
      </c>
      <c r="E132" s="482" t="str">
        <f t="shared" si="20"/>
        <v>2</v>
      </c>
      <c r="F132" s="135">
        <v>0</v>
      </c>
      <c r="G132" s="135">
        <v>0</v>
      </c>
      <c r="H132" s="138">
        <f t="shared" si="25"/>
        <v>0</v>
      </c>
      <c r="I132" s="135"/>
      <c r="J132" s="135"/>
      <c r="K132" s="138"/>
      <c r="L132" s="135"/>
      <c r="M132" s="135"/>
      <c r="N132" s="138"/>
      <c r="O132" s="135"/>
      <c r="P132" s="135"/>
      <c r="Q132" s="138"/>
      <c r="R132" s="135"/>
      <c r="S132" s="135"/>
      <c r="T132" s="138"/>
      <c r="U132" s="135"/>
      <c r="V132" s="135"/>
      <c r="W132" s="138"/>
      <c r="X132" s="139">
        <f t="shared" si="22"/>
        <v>0</v>
      </c>
      <c r="Y132" s="140" t="str">
        <f t="shared" si="23"/>
        <v>No</v>
      </c>
      <c r="Z132" s="141">
        <f t="shared" si="24"/>
        <v>1</v>
      </c>
      <c r="AA132" s="121"/>
      <c r="AB132" s="262" t="str">
        <f>IFERROR(VLOOKUP(C132,Tabla15[[Piloto2]:[Puntos clase5]],4, FALSE), " ")</f>
        <v>2RM</v>
      </c>
      <c r="AC132" s="8" t="s">
        <v>8</v>
      </c>
      <c r="AD132" s="8">
        <v>1</v>
      </c>
      <c r="AE132" s="8">
        <v>2</v>
      </c>
      <c r="AF132" s="8">
        <v>3</v>
      </c>
      <c r="AG132" s="8">
        <v>4</v>
      </c>
      <c r="AH132" s="8">
        <v>5</v>
      </c>
      <c r="AI132" s="8"/>
      <c r="AJ132" s="8"/>
      <c r="AK132" s="8"/>
      <c r="AL132" s="8"/>
      <c r="AM132" s="8" t="s">
        <v>9</v>
      </c>
    </row>
    <row r="133" spans="2:39" ht="12.75" customHeight="1" x14ac:dyDescent="0.3">
      <c r="B133" s="133" t="s">
        <v>658</v>
      </c>
      <c r="C133" s="142" t="s">
        <v>631</v>
      </c>
      <c r="D133" s="482">
        <v>5</v>
      </c>
      <c r="E133" s="482" t="str">
        <f t="shared" si="20"/>
        <v>2</v>
      </c>
      <c r="F133" s="135">
        <v>0</v>
      </c>
      <c r="G133" s="135">
        <v>0</v>
      </c>
      <c r="H133" s="138">
        <f t="shared" si="25"/>
        <v>0</v>
      </c>
      <c r="I133" s="135"/>
      <c r="J133" s="135"/>
      <c r="K133" s="138"/>
      <c r="L133" s="135"/>
      <c r="M133" s="135"/>
      <c r="N133" s="138"/>
      <c r="O133" s="135"/>
      <c r="P133" s="135"/>
      <c r="Q133" s="138"/>
      <c r="R133" s="135"/>
      <c r="S133" s="135"/>
      <c r="T133" s="138"/>
      <c r="U133" s="135"/>
      <c r="V133" s="135"/>
      <c r="W133" s="138"/>
      <c r="X133" s="139">
        <f t="shared" si="22"/>
        <v>0</v>
      </c>
      <c r="Y133" s="140" t="str">
        <f t="shared" si="23"/>
        <v>No</v>
      </c>
      <c r="Z133" s="141">
        <f t="shared" si="24"/>
        <v>1</v>
      </c>
      <c r="AA133" s="5"/>
      <c r="AB133" s="262" t="str">
        <f>IFERROR(VLOOKUP(C133,Tabla15[[Piloto2]:[Puntos clase5]],4, FALSE), " ")</f>
        <v>2RM</v>
      </c>
      <c r="AC133" s="8">
        <f>COUNTA(C43:C62)+COUNTA(Z214:Z216)+COUNTA(Z239:Z240)+COUNTA(#REF!)</f>
        <v>25</v>
      </c>
      <c r="AD133" s="8">
        <f>COUNTIF($Z$6:$Z$25,AD132)+COUNTIF($Z$180:$Z$181,AD132)+COUNTIF($Z$201:$Z$202,AD132)+COUNTIF($Z$229:$Z$230,AD132)</f>
        <v>26</v>
      </c>
      <c r="AE133" s="8">
        <f>COUNTIF($Z$6:$Z$25,AE132)+COUNTIF($Z$180:$Z$181,AE132)+COUNTIF($Z$201:$Z$202,AE132)+COUNTIF($Z$229:$Z$230,AE132)</f>
        <v>0</v>
      </c>
      <c r="AF133" s="8">
        <f>COUNTIF($Z$6:$Z$25,AF132)+COUNTIF($Z$180:$Z$181,AF132)+COUNTIF($Z$201:$Z$202,AF132)+COUNTIF($Z$229:$Z$230,AF132)</f>
        <v>0</v>
      </c>
      <c r="AG133" s="8">
        <f>COUNTIF($Z$6:$Z$25,AG132)+COUNTIF($Z$180:$Z$181,AG132)+COUNTIF($Z$201:$Z$202,AG132)+COUNTIF($Z$229:$Z$230,AG132)</f>
        <v>0</v>
      </c>
      <c r="AH133" s="8">
        <f>COUNTIF($Z$6:$Z$25,AH132)+COUNTIF($Z$180:$Z$181,AH132)+COUNTIF($Z$201:$Z$202,AH132)+COUNTIF($Z$229:$Z$230,AH132)</f>
        <v>0</v>
      </c>
      <c r="AI133" s="8"/>
      <c r="AJ133" s="8"/>
      <c r="AK133" s="8"/>
      <c r="AL133" s="9"/>
      <c r="AM133" s="8">
        <f>SUM(AD133:AJ133)</f>
        <v>26</v>
      </c>
    </row>
    <row r="134" spans="2:39" ht="12.75" customHeight="1" x14ac:dyDescent="0.3">
      <c r="B134" s="133" t="s">
        <v>658</v>
      </c>
      <c r="C134" s="142" t="s">
        <v>633</v>
      </c>
      <c r="D134" s="482">
        <v>3</v>
      </c>
      <c r="E134" s="482">
        <v>2</v>
      </c>
      <c r="F134" s="135">
        <v>0</v>
      </c>
      <c r="G134" s="135">
        <v>0</v>
      </c>
      <c r="H134" s="138">
        <f t="shared" si="25"/>
        <v>0</v>
      </c>
      <c r="I134" s="135"/>
      <c r="J134" s="135"/>
      <c r="K134" s="138"/>
      <c r="L134" s="135"/>
      <c r="M134" s="135"/>
      <c r="N134" s="138"/>
      <c r="O134" s="135"/>
      <c r="P134" s="135"/>
      <c r="Q134" s="138"/>
      <c r="R134" s="135"/>
      <c r="S134" s="135"/>
      <c r="T134" s="138"/>
      <c r="U134" s="135"/>
      <c r="V134" s="135"/>
      <c r="W134" s="138"/>
      <c r="X134" s="139">
        <f t="shared" si="22"/>
        <v>0</v>
      </c>
      <c r="Y134" s="140" t="str">
        <f t="shared" si="23"/>
        <v>No</v>
      </c>
      <c r="Z134" s="141">
        <f t="shared" si="24"/>
        <v>1</v>
      </c>
      <c r="AA134" s="5"/>
      <c r="AB134" s="262" t="str">
        <f>IFERROR(VLOOKUP(C134,Tabla15[[Piloto2]:[Puntos clase5]],4, FALSE), " ")</f>
        <v>2RM</v>
      </c>
      <c r="AC134" s="31"/>
      <c r="AD134" s="32"/>
      <c r="AE134" s="32"/>
      <c r="AF134" s="32"/>
      <c r="AG134" s="32"/>
      <c r="AH134" s="32"/>
      <c r="AI134" s="32"/>
      <c r="AJ134" s="528" t="s">
        <v>32</v>
      </c>
      <c r="AK134" s="529"/>
      <c r="AL134" s="530"/>
      <c r="AM134" s="33" t="e">
        <f>#REF!/AM133</f>
        <v>#REF!</v>
      </c>
    </row>
    <row r="135" spans="2:39" ht="12.75" customHeight="1" x14ac:dyDescent="0.3">
      <c r="B135" s="133" t="s">
        <v>658</v>
      </c>
      <c r="C135" s="134" t="s">
        <v>636</v>
      </c>
      <c r="D135" s="482">
        <v>5</v>
      </c>
      <c r="E135" s="482" t="str">
        <f>LEFT(AB135,LEN(AB135)-2)</f>
        <v>2</v>
      </c>
      <c r="F135" s="135">
        <v>0</v>
      </c>
      <c r="G135" s="135">
        <v>0</v>
      </c>
      <c r="H135" s="138">
        <f t="shared" si="25"/>
        <v>0</v>
      </c>
      <c r="I135" s="135"/>
      <c r="J135" s="135"/>
      <c r="K135" s="138"/>
      <c r="L135" s="135"/>
      <c r="M135" s="135"/>
      <c r="N135" s="138"/>
      <c r="O135" s="135"/>
      <c r="P135" s="135"/>
      <c r="Q135" s="138"/>
      <c r="R135" s="135"/>
      <c r="S135" s="135"/>
      <c r="T135" s="138"/>
      <c r="U135" s="135"/>
      <c r="V135" s="135"/>
      <c r="W135" s="138"/>
      <c r="X135" s="139">
        <f t="shared" si="22"/>
        <v>0</v>
      </c>
      <c r="Y135" s="140" t="str">
        <f t="shared" si="23"/>
        <v>No</v>
      </c>
      <c r="Z135" s="141">
        <f t="shared" si="24"/>
        <v>1</v>
      </c>
      <c r="AA135" s="148"/>
      <c r="AB135" s="262" t="str">
        <f>IFERROR(VLOOKUP(C135,Tabla15[[Piloto2]:[Puntos clase5]],4, FALSE), " ")</f>
        <v>2RM</v>
      </c>
    </row>
    <row r="136" spans="2:39" ht="12.75" customHeight="1" x14ac:dyDescent="0.3">
      <c r="B136" s="133" t="s">
        <v>658</v>
      </c>
      <c r="C136" s="134" t="s">
        <v>638</v>
      </c>
      <c r="D136" s="482">
        <v>4</v>
      </c>
      <c r="E136" s="482" t="str">
        <f>LEFT(AB136,LEN(AB136)-2)</f>
        <v>2</v>
      </c>
      <c r="F136" s="135">
        <v>0</v>
      </c>
      <c r="G136" s="135">
        <v>0</v>
      </c>
      <c r="H136" s="138">
        <f t="shared" si="25"/>
        <v>0</v>
      </c>
      <c r="I136" s="135"/>
      <c r="J136" s="135"/>
      <c r="K136" s="138"/>
      <c r="L136" s="135"/>
      <c r="M136" s="135"/>
      <c r="N136" s="138"/>
      <c r="O136" s="135"/>
      <c r="P136" s="135"/>
      <c r="Q136" s="138"/>
      <c r="R136" s="135"/>
      <c r="S136" s="135"/>
      <c r="T136" s="138"/>
      <c r="U136" s="135"/>
      <c r="V136" s="135"/>
      <c r="W136" s="138"/>
      <c r="X136" s="139">
        <f t="shared" si="22"/>
        <v>0</v>
      </c>
      <c r="Y136" s="140" t="str">
        <f t="shared" si="23"/>
        <v>No</v>
      </c>
      <c r="Z136" s="141">
        <f t="shared" si="24"/>
        <v>1</v>
      </c>
      <c r="AA136" s="148"/>
      <c r="AB136" s="262" t="str">
        <f>IFERROR(VLOOKUP(C136,Tabla15[[Piloto2]:[Puntos clase5]],4, FALSE), " ")</f>
        <v>2RM</v>
      </c>
    </row>
    <row r="137" spans="2:39" ht="12" x14ac:dyDescent="0.3">
      <c r="B137" s="155"/>
      <c r="C137" s="236"/>
      <c r="D137" s="155"/>
      <c r="E137" s="155"/>
      <c r="F137" s="147"/>
      <c r="G137" s="147"/>
      <c r="H137" s="147"/>
      <c r="I137" s="147"/>
      <c r="J137" s="147"/>
      <c r="K137" s="147"/>
      <c r="L137" s="147"/>
      <c r="M137" s="147"/>
      <c r="N137" s="147"/>
      <c r="O137" s="147"/>
      <c r="P137" s="147"/>
      <c r="Q137" s="147"/>
      <c r="R137" s="147"/>
      <c r="S137" s="147"/>
      <c r="T137" s="147"/>
      <c r="U137" s="147"/>
      <c r="V137" s="147"/>
      <c r="W137" s="147"/>
      <c r="X137" s="147"/>
      <c r="Y137" s="147"/>
      <c r="Z137" s="7"/>
      <c r="AA137" s="7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</row>
    <row r="138" spans="2:39" ht="12" x14ac:dyDescent="0.3">
      <c r="B138" s="155"/>
      <c r="C138" s="235" t="s">
        <v>5</v>
      </c>
      <c r="D138" s="228" t="s">
        <v>6</v>
      </c>
      <c r="E138" s="155"/>
      <c r="F138" s="147"/>
      <c r="G138" s="147"/>
      <c r="H138" s="147"/>
      <c r="I138" s="147"/>
      <c r="J138" s="147"/>
      <c r="K138" s="147"/>
      <c r="L138" s="147"/>
      <c r="M138" s="147"/>
      <c r="N138" s="147"/>
      <c r="O138" s="147"/>
      <c r="P138" s="147"/>
      <c r="Q138" s="147"/>
      <c r="R138" s="147"/>
      <c r="S138" s="147"/>
      <c r="T138" s="147"/>
      <c r="U138" s="147"/>
      <c r="V138" s="147"/>
      <c r="W138" s="147"/>
      <c r="X138" s="147"/>
      <c r="Y138" s="147"/>
      <c r="Z138" s="7"/>
      <c r="AA138" s="7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</row>
    <row r="139" spans="2:39" ht="3.65" customHeight="1" thickBot="1" x14ac:dyDescent="0.35">
      <c r="B139" s="155"/>
      <c r="C139" s="235"/>
      <c r="D139" s="146"/>
      <c r="E139" s="155"/>
      <c r="F139" s="147"/>
      <c r="G139" s="147"/>
      <c r="H139" s="147"/>
      <c r="I139" s="147"/>
      <c r="J139" s="147"/>
      <c r="K139" s="147"/>
      <c r="L139" s="147"/>
      <c r="M139" s="147"/>
      <c r="N139" s="147"/>
      <c r="O139" s="147"/>
      <c r="P139" s="147"/>
      <c r="Q139" s="147"/>
      <c r="R139" s="147"/>
      <c r="S139" s="147"/>
      <c r="T139" s="147"/>
      <c r="U139" s="147"/>
      <c r="V139" s="147"/>
      <c r="W139" s="147"/>
      <c r="X139" s="147"/>
      <c r="Y139" s="147"/>
      <c r="Z139" s="7"/>
      <c r="AA139" s="7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</row>
    <row r="140" spans="2:39" ht="12.5" thickBot="1" x14ac:dyDescent="0.35">
      <c r="B140" s="155"/>
      <c r="C140" s="235" t="s">
        <v>7</v>
      </c>
      <c r="D140" s="233">
        <v>2</v>
      </c>
      <c r="E140" s="155"/>
      <c r="F140" s="147"/>
      <c r="G140" s="147"/>
      <c r="H140" s="147"/>
      <c r="I140" s="147"/>
      <c r="J140" s="147"/>
      <c r="K140" s="147"/>
      <c r="L140" s="147"/>
      <c r="M140" s="147"/>
      <c r="N140" s="147"/>
      <c r="O140" s="147"/>
      <c r="P140" s="147"/>
      <c r="Q140" s="147"/>
      <c r="R140" s="147"/>
      <c r="S140" s="147"/>
      <c r="T140" s="147"/>
      <c r="U140" s="147"/>
      <c r="V140" s="147"/>
      <c r="W140" s="147"/>
      <c r="X140" s="147"/>
      <c r="Y140" s="147"/>
      <c r="Z140" s="7"/>
      <c r="AA140" s="7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</row>
    <row r="141" spans="2:39" ht="3.65" customHeight="1" x14ac:dyDescent="0.3">
      <c r="B141" s="155"/>
      <c r="C141" s="236"/>
      <c r="D141" s="155"/>
      <c r="E141" s="155"/>
      <c r="F141" s="147"/>
      <c r="G141" s="147"/>
      <c r="H141" s="147"/>
      <c r="I141" s="147"/>
      <c r="J141" s="147"/>
      <c r="K141" s="147"/>
      <c r="L141" s="147"/>
      <c r="M141" s="147"/>
      <c r="N141" s="147"/>
      <c r="O141" s="147"/>
      <c r="P141" s="147"/>
      <c r="Q141" s="147"/>
      <c r="R141" s="147"/>
      <c r="S141" s="147"/>
      <c r="T141" s="147"/>
      <c r="U141" s="147"/>
      <c r="V141" s="147"/>
      <c r="W141" s="147"/>
      <c r="X141" s="147"/>
      <c r="Y141" s="147"/>
      <c r="Z141" s="7"/>
      <c r="AA141" s="7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</row>
    <row r="142" spans="2:39" ht="12" x14ac:dyDescent="0.3">
      <c r="B142" s="155"/>
      <c r="C142" s="235"/>
      <c r="D142" s="284"/>
      <c r="E142" s="285" t="s">
        <v>534</v>
      </c>
      <c r="F142" s="147"/>
      <c r="G142" s="147"/>
      <c r="H142" s="147"/>
      <c r="I142" s="147"/>
      <c r="J142" s="147"/>
      <c r="K142" s="147"/>
      <c r="L142" s="147"/>
      <c r="M142" s="147"/>
      <c r="N142" s="147"/>
      <c r="O142" s="147"/>
      <c r="P142" s="147"/>
      <c r="Q142" s="147"/>
      <c r="R142" s="147"/>
      <c r="S142" s="147"/>
      <c r="T142" s="147"/>
      <c r="U142" s="147"/>
      <c r="V142" s="147"/>
      <c r="W142" s="147"/>
      <c r="X142" s="147"/>
      <c r="Y142" s="147"/>
      <c r="Z142" s="7"/>
      <c r="AA142" s="7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</row>
    <row r="143" spans="2:39" ht="3" customHeight="1" x14ac:dyDescent="0.3">
      <c r="B143" s="155"/>
      <c r="C143" s="235"/>
      <c r="D143" s="239"/>
      <c r="E143" s="120"/>
      <c r="F143" s="147"/>
      <c r="G143" s="147"/>
      <c r="H143" s="147"/>
      <c r="I143" s="147"/>
      <c r="J143" s="147"/>
      <c r="K143" s="147"/>
      <c r="L143" s="147"/>
      <c r="M143" s="147"/>
      <c r="N143" s="147"/>
      <c r="O143" s="147"/>
      <c r="P143" s="147"/>
      <c r="Q143" s="147"/>
      <c r="R143" s="147"/>
      <c r="S143" s="147"/>
      <c r="T143" s="147"/>
      <c r="U143" s="147"/>
      <c r="V143" s="147"/>
      <c r="W143" s="147"/>
      <c r="X143" s="147"/>
      <c r="Y143" s="147"/>
      <c r="Z143" s="7"/>
      <c r="AA143" s="7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</row>
    <row r="144" spans="2:39" ht="12" x14ac:dyDescent="0.3">
      <c r="B144" s="155"/>
      <c r="C144" s="236" t="s">
        <v>659</v>
      </c>
      <c r="D144" s="237" t="s">
        <v>273</v>
      </c>
      <c r="E144" s="238"/>
      <c r="F144" s="147"/>
      <c r="G144" s="147"/>
      <c r="H144" s="147"/>
      <c r="I144" s="147"/>
      <c r="J144" s="147"/>
      <c r="K144" s="147"/>
      <c r="L144" s="147"/>
      <c r="M144" s="147"/>
      <c r="N144" s="147"/>
      <c r="O144" s="147"/>
      <c r="P144" s="147"/>
      <c r="Q144" s="147"/>
      <c r="R144" s="147"/>
      <c r="S144" s="147"/>
      <c r="T144" s="147"/>
      <c r="U144" s="147"/>
      <c r="V144" s="147"/>
      <c r="W144" s="147"/>
      <c r="X144" s="147"/>
      <c r="Y144" s="147"/>
      <c r="Z144" s="7"/>
      <c r="AA144" s="7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</row>
    <row r="145" spans="2:39" ht="12" x14ac:dyDescent="0.3">
      <c r="B145" s="155"/>
      <c r="C145" s="236"/>
      <c r="D145" s="155"/>
      <c r="E145" s="155"/>
      <c r="F145" s="147"/>
      <c r="G145" s="147"/>
      <c r="H145" s="147"/>
      <c r="I145" s="147"/>
      <c r="J145" s="147"/>
      <c r="K145" s="147"/>
      <c r="L145" s="147"/>
      <c r="M145" s="147"/>
      <c r="N145" s="147"/>
      <c r="O145" s="147"/>
      <c r="P145" s="147"/>
      <c r="Q145" s="147"/>
      <c r="R145" s="147"/>
      <c r="S145" s="147"/>
      <c r="T145" s="147"/>
      <c r="U145" s="147"/>
      <c r="V145" s="147"/>
      <c r="W145" s="147"/>
      <c r="X145" s="147"/>
      <c r="Y145" s="147"/>
      <c r="Z145" s="7"/>
      <c r="AA145" s="7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</row>
    <row r="146" spans="2:39" ht="12" x14ac:dyDescent="0.3">
      <c r="B146" s="155"/>
      <c r="C146" s="236"/>
      <c r="D146" s="155"/>
      <c r="E146" s="155"/>
      <c r="F146" s="147"/>
      <c r="G146" s="147"/>
      <c r="H146" s="147"/>
      <c r="I146" s="147"/>
      <c r="J146" s="147"/>
      <c r="K146" s="147"/>
      <c r="L146" s="147"/>
      <c r="M146" s="147"/>
      <c r="N146" s="147"/>
      <c r="O146" s="147"/>
      <c r="P146" s="147"/>
      <c r="Q146" s="147"/>
      <c r="R146" s="147"/>
      <c r="S146" s="147"/>
      <c r="T146" s="147"/>
      <c r="U146" s="147"/>
      <c r="V146" s="147"/>
      <c r="W146" s="147"/>
      <c r="X146" s="147"/>
      <c r="Y146" s="147"/>
      <c r="Z146" s="7"/>
      <c r="AA146" s="7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</row>
    <row r="147" spans="2:39" ht="12" x14ac:dyDescent="0.3">
      <c r="B147" s="155"/>
      <c r="C147" s="236"/>
      <c r="D147" s="155"/>
      <c r="E147" s="155"/>
      <c r="F147" s="147"/>
      <c r="G147" s="147"/>
      <c r="H147" s="147"/>
      <c r="I147" s="147"/>
      <c r="J147" s="147"/>
      <c r="K147" s="147"/>
      <c r="L147" s="147"/>
      <c r="M147" s="147"/>
      <c r="N147" s="147"/>
      <c r="O147" s="147"/>
      <c r="P147" s="147"/>
      <c r="Q147" s="147"/>
      <c r="R147" s="147"/>
      <c r="S147" s="147"/>
      <c r="T147" s="147"/>
      <c r="U147" s="147"/>
      <c r="V147" s="147"/>
      <c r="W147" s="147"/>
      <c r="X147" s="147"/>
      <c r="Y147" s="147"/>
      <c r="Z147" s="7"/>
      <c r="AA147" s="7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</row>
    <row r="148" spans="2:39" ht="12" x14ac:dyDescent="0.3">
      <c r="B148" s="155"/>
      <c r="C148" s="236"/>
      <c r="D148" s="155"/>
      <c r="E148" s="155"/>
      <c r="F148" s="147"/>
      <c r="G148" s="147"/>
      <c r="H148" s="147"/>
      <c r="I148" s="147"/>
      <c r="J148" s="147"/>
      <c r="K148" s="147"/>
      <c r="L148" s="147"/>
      <c r="M148" s="147"/>
      <c r="N148" s="147"/>
      <c r="O148" s="147"/>
      <c r="P148" s="147"/>
      <c r="Q148" s="147"/>
      <c r="R148" s="147"/>
      <c r="S148" s="147"/>
      <c r="T148" s="147"/>
      <c r="U148" s="147"/>
      <c r="V148" s="147"/>
      <c r="W148" s="147"/>
      <c r="X148" s="147"/>
      <c r="Y148" s="147"/>
      <c r="Z148" s="7"/>
      <c r="AA148" s="7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</row>
    <row r="149" spans="2:39" ht="37.5" customHeight="1" x14ac:dyDescent="0.55000000000000004">
      <c r="B149" s="527" t="s">
        <v>553</v>
      </c>
      <c r="C149" s="527"/>
      <c r="D149" s="527"/>
      <c r="E149" s="527"/>
      <c r="F149" s="527"/>
      <c r="G149" s="527"/>
      <c r="H149" s="527"/>
      <c r="I149" s="527"/>
      <c r="J149" s="527"/>
      <c r="K149" s="527"/>
      <c r="L149" s="527"/>
      <c r="M149" s="527"/>
      <c r="N149" s="527"/>
      <c r="O149" s="527"/>
      <c r="P149" s="527"/>
      <c r="Q149" s="527"/>
      <c r="R149" s="527"/>
      <c r="S149" s="527"/>
      <c r="T149" s="527"/>
      <c r="U149" s="527"/>
      <c r="V149" s="527"/>
      <c r="W149" s="527"/>
      <c r="X149" s="461"/>
      <c r="Y149" s="147"/>
      <c r="Z149" s="7"/>
      <c r="AA149" s="7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</row>
    <row r="150" spans="2:39" ht="33" customHeight="1" x14ac:dyDescent="0.3">
      <c r="B150" s="531" t="s">
        <v>224</v>
      </c>
      <c r="C150" s="531"/>
      <c r="D150" s="531"/>
      <c r="E150" s="531"/>
      <c r="F150" s="531"/>
      <c r="G150" s="531"/>
      <c r="H150" s="531"/>
      <c r="I150" s="531"/>
      <c r="J150" s="531"/>
      <c r="K150" s="531"/>
      <c r="L150" s="531"/>
      <c r="M150" s="531"/>
      <c r="N150" s="531"/>
      <c r="O150" s="531"/>
      <c r="P150" s="531"/>
      <c r="Q150" s="531"/>
      <c r="R150" s="531"/>
      <c r="S150" s="531"/>
      <c r="T150" s="531"/>
      <c r="U150" s="531"/>
      <c r="V150" s="531"/>
      <c r="W150" s="531"/>
      <c r="X150" s="167"/>
      <c r="Y150" s="147"/>
      <c r="Z150" s="7"/>
      <c r="AA150" s="7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</row>
    <row r="151" spans="2:39" ht="15.5" x14ac:dyDescent="0.3">
      <c r="B151" s="162"/>
      <c r="C151" s="168"/>
      <c r="D151" s="161"/>
      <c r="E151" s="161"/>
      <c r="F151" s="222" t="s">
        <v>220</v>
      </c>
      <c r="G151" s="223"/>
      <c r="H151" s="224"/>
      <c r="I151" s="222" t="s">
        <v>663</v>
      </c>
      <c r="J151" s="225"/>
      <c r="K151" s="226"/>
      <c r="L151" s="222" t="s">
        <v>532</v>
      </c>
      <c r="M151" s="225"/>
      <c r="N151" s="226"/>
      <c r="O151" s="222" t="s">
        <v>526</v>
      </c>
      <c r="P151" s="225"/>
      <c r="Q151" s="226"/>
      <c r="R151" s="222" t="s">
        <v>287</v>
      </c>
      <c r="S151" s="225"/>
      <c r="T151" s="226"/>
      <c r="U151" s="413" t="s">
        <v>527</v>
      </c>
      <c r="V151" s="226"/>
      <c r="W151" s="226"/>
      <c r="X151" s="161" t="s">
        <v>213</v>
      </c>
      <c r="Y151" s="147"/>
      <c r="Z151" s="7"/>
      <c r="AA151" s="7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</row>
    <row r="152" spans="2:39" ht="15.5" x14ac:dyDescent="0.3">
      <c r="B152" s="159" t="s">
        <v>0</v>
      </c>
      <c r="C152" s="170" t="s">
        <v>1</v>
      </c>
      <c r="D152" s="160" t="s">
        <v>2</v>
      </c>
      <c r="E152" s="160" t="s">
        <v>3</v>
      </c>
      <c r="F152" s="217" t="s">
        <v>523</v>
      </c>
      <c r="G152" s="218"/>
      <c r="H152" s="219"/>
      <c r="I152" s="217" t="s">
        <v>525</v>
      </c>
      <c r="J152" s="220"/>
      <c r="K152" s="221"/>
      <c r="L152" s="217" t="s">
        <v>664</v>
      </c>
      <c r="M152" s="220"/>
      <c r="N152" s="221"/>
      <c r="O152" s="217" t="s">
        <v>529</v>
      </c>
      <c r="P152" s="220"/>
      <c r="Q152" s="221"/>
      <c r="R152" s="217" t="s">
        <v>530</v>
      </c>
      <c r="S152" s="220"/>
      <c r="T152" s="221"/>
      <c r="U152" s="414" t="s">
        <v>528</v>
      </c>
      <c r="V152" s="255"/>
      <c r="W152" s="415"/>
      <c r="X152" s="160" t="s">
        <v>9</v>
      </c>
      <c r="Y152" s="147"/>
      <c r="Z152" s="7"/>
      <c r="AA152" s="7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</row>
    <row r="153" spans="2:39" ht="13" x14ac:dyDescent="0.3">
      <c r="B153" s="163"/>
      <c r="C153" s="501"/>
      <c r="D153" s="157"/>
      <c r="E153" s="157"/>
      <c r="F153" s="131" t="s">
        <v>33</v>
      </c>
      <c r="G153" s="131" t="s">
        <v>34</v>
      </c>
      <c r="H153" s="132" t="s">
        <v>35</v>
      </c>
      <c r="I153" s="131" t="s">
        <v>33</v>
      </c>
      <c r="J153" s="131" t="s">
        <v>34</v>
      </c>
      <c r="K153" s="132" t="s">
        <v>35</v>
      </c>
      <c r="L153" s="131" t="s">
        <v>33</v>
      </c>
      <c r="M153" s="131" t="s">
        <v>34</v>
      </c>
      <c r="N153" s="132" t="s">
        <v>35</v>
      </c>
      <c r="O153" s="131" t="s">
        <v>33</v>
      </c>
      <c r="P153" s="131" t="s">
        <v>34</v>
      </c>
      <c r="Q153" s="132" t="s">
        <v>35</v>
      </c>
      <c r="R153" s="131" t="s">
        <v>33</v>
      </c>
      <c r="S153" s="131" t="s">
        <v>34</v>
      </c>
      <c r="T153" s="132" t="s">
        <v>35</v>
      </c>
      <c r="U153" s="131" t="s">
        <v>33</v>
      </c>
      <c r="V153" s="131" t="s">
        <v>34</v>
      </c>
      <c r="W153" s="132" t="s">
        <v>35</v>
      </c>
      <c r="X153" s="157"/>
      <c r="Y153" s="147"/>
      <c r="Z153" s="7"/>
      <c r="AA153" s="7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</row>
    <row r="154" spans="2:39" ht="13" x14ac:dyDescent="0.3">
      <c r="B154" s="499">
        <v>1</v>
      </c>
      <c r="C154" s="502" t="s">
        <v>597</v>
      </c>
      <c r="D154" s="500">
        <v>5</v>
      </c>
      <c r="E154" s="137"/>
      <c r="F154" s="135">
        <f>IFERROR(VLOOKUP(C154,'01_RS ALCARRIA'!$D$6:$M$36,10,FALSE),"")</f>
        <v>4</v>
      </c>
      <c r="G154" s="135">
        <f>IFERROR(VLOOKUP(C154,'01_RS ALCARRIA'!$D$6:$O$36,12,FALSE),"")</f>
        <v>10</v>
      </c>
      <c r="H154" s="138">
        <f t="shared" ref="H154" si="26">(F154+G154)*2</f>
        <v>28</v>
      </c>
      <c r="I154" s="135"/>
      <c r="J154" s="135"/>
      <c r="K154" s="138"/>
      <c r="L154" s="135"/>
      <c r="M154" s="135"/>
      <c r="N154" s="138"/>
      <c r="O154" s="135"/>
      <c r="P154" s="135"/>
      <c r="Q154" s="138"/>
      <c r="R154" s="135"/>
      <c r="S154" s="135"/>
      <c r="T154" s="138"/>
      <c r="U154" s="135"/>
      <c r="V154" s="135"/>
      <c r="W154" s="138"/>
      <c r="X154" s="139">
        <f>H154+K154+N154+Q154+T154+W154</f>
        <v>28</v>
      </c>
      <c r="Y154" s="147"/>
      <c r="Z154" s="7"/>
      <c r="AA154" s="7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</row>
    <row r="155" spans="2:39" ht="13" x14ac:dyDescent="0.3">
      <c r="B155" s="499" t="s">
        <v>658</v>
      </c>
      <c r="C155" s="502" t="s">
        <v>626</v>
      </c>
      <c r="D155" s="500">
        <v>5</v>
      </c>
      <c r="E155" s="137"/>
      <c r="F155" s="135">
        <v>0</v>
      </c>
      <c r="G155" s="135">
        <v>0</v>
      </c>
      <c r="H155" s="138">
        <f>(F155+G155)</f>
        <v>0</v>
      </c>
      <c r="I155" s="135"/>
      <c r="J155" s="135"/>
      <c r="K155" s="138"/>
      <c r="L155" s="135"/>
      <c r="M155" s="135"/>
      <c r="N155" s="138"/>
      <c r="O155" s="135"/>
      <c r="P155" s="135"/>
      <c r="Q155" s="138"/>
      <c r="R155" s="135"/>
      <c r="S155" s="135"/>
      <c r="T155" s="138"/>
      <c r="U155" s="135"/>
      <c r="V155" s="135"/>
      <c r="W155" s="138"/>
      <c r="X155" s="139">
        <f>H155+K155+N155+Q155+T155+W155</f>
        <v>0</v>
      </c>
      <c r="Y155" s="147"/>
      <c r="Z155" s="7"/>
      <c r="AA155" s="7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</row>
    <row r="156" spans="2:39" ht="13" x14ac:dyDescent="0.3">
      <c r="B156" s="499" t="s">
        <v>658</v>
      </c>
      <c r="C156" s="502" t="s">
        <v>408</v>
      </c>
      <c r="D156" s="500">
        <v>5</v>
      </c>
      <c r="E156" s="137"/>
      <c r="F156" s="135">
        <v>0</v>
      </c>
      <c r="G156" s="135">
        <v>0</v>
      </c>
      <c r="H156" s="138">
        <f t="shared" ref="H156:H157" si="27">(F156+G156)</f>
        <v>0</v>
      </c>
      <c r="I156" s="135"/>
      <c r="J156" s="135"/>
      <c r="K156" s="138"/>
      <c r="L156" s="135"/>
      <c r="M156" s="135"/>
      <c r="N156" s="138"/>
      <c r="O156" s="135"/>
      <c r="P156" s="135"/>
      <c r="Q156" s="138"/>
      <c r="R156" s="135"/>
      <c r="S156" s="135"/>
      <c r="T156" s="138"/>
      <c r="U156" s="135"/>
      <c r="V156" s="135"/>
      <c r="W156" s="138"/>
      <c r="X156" s="139">
        <f>H156+K156+N156+Q156+T156+W156</f>
        <v>0</v>
      </c>
      <c r="Y156" s="147"/>
      <c r="Z156" s="7"/>
      <c r="AA156" s="7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</row>
    <row r="157" spans="2:39" ht="13" x14ac:dyDescent="0.3">
      <c r="B157" s="499" t="s">
        <v>658</v>
      </c>
      <c r="C157" s="502" t="s">
        <v>635</v>
      </c>
      <c r="D157" s="500">
        <v>5</v>
      </c>
      <c r="E157" s="137"/>
      <c r="F157" s="135">
        <v>0</v>
      </c>
      <c r="G157" s="135">
        <v>0</v>
      </c>
      <c r="H157" s="138">
        <f t="shared" si="27"/>
        <v>0</v>
      </c>
      <c r="I157" s="135"/>
      <c r="J157" s="135"/>
      <c r="K157" s="138"/>
      <c r="L157" s="135"/>
      <c r="M157" s="135"/>
      <c r="N157" s="138"/>
      <c r="O157" s="135"/>
      <c r="P157" s="135"/>
      <c r="Q157" s="138"/>
      <c r="R157" s="135"/>
      <c r="S157" s="135"/>
      <c r="T157" s="138"/>
      <c r="U157" s="135"/>
      <c r="V157" s="135"/>
      <c r="W157" s="138"/>
      <c r="X157" s="139">
        <f>H157+K157+N157+Q157+T157+W157</f>
        <v>0</v>
      </c>
      <c r="Y157" s="147"/>
      <c r="Z157" s="7"/>
      <c r="AA157" s="7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</row>
    <row r="158" spans="2:39" ht="12" x14ac:dyDescent="0.3">
      <c r="B158" s="155"/>
      <c r="C158" s="236"/>
      <c r="D158" s="155"/>
      <c r="E158" s="155"/>
      <c r="F158" s="147"/>
      <c r="G158" s="147"/>
      <c r="H158" s="147"/>
      <c r="I158" s="147"/>
      <c r="J158" s="147"/>
      <c r="K158" s="147"/>
      <c r="L158" s="147"/>
      <c r="M158" s="147"/>
      <c r="N158" s="147"/>
      <c r="O158" s="147"/>
      <c r="P158" s="147"/>
      <c r="Q158" s="147"/>
      <c r="R158" s="147"/>
      <c r="S158" s="147"/>
      <c r="T158" s="147"/>
      <c r="U158" s="147"/>
      <c r="V158" s="147"/>
      <c r="W158" s="147"/>
      <c r="X158" s="147"/>
      <c r="Y158" s="147"/>
      <c r="Z158" s="7"/>
      <c r="AA158" s="7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</row>
    <row r="159" spans="2:39" ht="12" x14ac:dyDescent="0.3">
      <c r="B159" s="155"/>
      <c r="C159" s="236"/>
      <c r="D159" s="284"/>
      <c r="E159" s="285" t="s">
        <v>534</v>
      </c>
      <c r="F159" s="147"/>
      <c r="G159" s="147"/>
      <c r="H159" s="147"/>
      <c r="I159" s="147"/>
      <c r="J159" s="147"/>
      <c r="K159" s="147"/>
      <c r="L159" s="147"/>
      <c r="M159" s="147"/>
      <c r="N159" s="147"/>
      <c r="O159" s="147"/>
      <c r="P159" s="147"/>
      <c r="Q159" s="147"/>
      <c r="R159" s="147"/>
      <c r="S159" s="147"/>
      <c r="T159" s="147"/>
      <c r="U159" s="147"/>
      <c r="V159" s="147"/>
      <c r="W159" s="147"/>
      <c r="X159" s="147"/>
      <c r="Y159" s="147"/>
      <c r="Z159" s="7"/>
      <c r="AA159" s="7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</row>
    <row r="160" spans="2:39" ht="12" x14ac:dyDescent="0.3">
      <c r="B160" s="155"/>
      <c r="C160" s="236"/>
      <c r="D160" s="155"/>
      <c r="E160" s="155"/>
      <c r="F160" s="147"/>
      <c r="G160" s="147"/>
      <c r="H160" s="147"/>
      <c r="I160" s="147"/>
      <c r="J160" s="147"/>
      <c r="K160" s="147"/>
      <c r="L160" s="147"/>
      <c r="M160" s="147"/>
      <c r="N160" s="147"/>
      <c r="O160" s="147"/>
      <c r="P160" s="147"/>
      <c r="Q160" s="147"/>
      <c r="R160" s="147"/>
      <c r="S160" s="147"/>
      <c r="T160" s="147"/>
      <c r="U160" s="147"/>
      <c r="V160" s="147"/>
      <c r="W160" s="147"/>
      <c r="X160" s="147"/>
      <c r="Y160" s="147"/>
      <c r="Z160" s="7"/>
      <c r="AA160" s="7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</row>
    <row r="161" spans="2:39" ht="37.5" customHeight="1" x14ac:dyDescent="0.55000000000000004">
      <c r="B161" s="527" t="s">
        <v>553</v>
      </c>
      <c r="C161" s="527"/>
      <c r="D161" s="527"/>
      <c r="E161" s="527"/>
      <c r="F161" s="527"/>
      <c r="G161" s="527"/>
      <c r="H161" s="527"/>
      <c r="I161" s="527"/>
      <c r="J161" s="527"/>
      <c r="K161" s="527"/>
      <c r="L161" s="527"/>
      <c r="M161" s="527"/>
      <c r="N161" s="527"/>
      <c r="O161" s="527"/>
      <c r="P161" s="527"/>
      <c r="Q161" s="527"/>
      <c r="R161" s="527"/>
      <c r="S161" s="527"/>
      <c r="T161" s="527"/>
      <c r="U161" s="527"/>
      <c r="V161" s="527"/>
      <c r="W161" s="527"/>
      <c r="X161" s="461"/>
      <c r="Y161" s="147"/>
      <c r="Z161" s="7"/>
      <c r="AA161" s="7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</row>
    <row r="162" spans="2:39" ht="33" customHeight="1" x14ac:dyDescent="0.3">
      <c r="B162" s="531" t="s">
        <v>338</v>
      </c>
      <c r="C162" s="531"/>
      <c r="D162" s="531"/>
      <c r="E162" s="531"/>
      <c r="F162" s="531"/>
      <c r="G162" s="531"/>
      <c r="H162" s="531"/>
      <c r="I162" s="531"/>
      <c r="J162" s="531"/>
      <c r="K162" s="531"/>
      <c r="L162" s="531"/>
      <c r="M162" s="531"/>
      <c r="N162" s="531"/>
      <c r="O162" s="531"/>
      <c r="P162" s="531"/>
      <c r="Q162" s="531"/>
      <c r="R162" s="531"/>
      <c r="S162" s="531"/>
      <c r="T162" s="531"/>
      <c r="U162" s="531"/>
      <c r="V162" s="531"/>
      <c r="W162" s="531"/>
      <c r="X162" s="167"/>
      <c r="Y162" s="147"/>
      <c r="Z162" s="7"/>
      <c r="AA162" s="7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</row>
    <row r="163" spans="2:39" ht="15.5" x14ac:dyDescent="0.3">
      <c r="B163" s="162"/>
      <c r="C163" s="168"/>
      <c r="D163" s="161"/>
      <c r="E163" s="161"/>
      <c r="F163" s="222" t="s">
        <v>220</v>
      </c>
      <c r="G163" s="223"/>
      <c r="H163" s="224"/>
      <c r="I163" s="222" t="s">
        <v>663</v>
      </c>
      <c r="J163" s="225"/>
      <c r="K163" s="226"/>
      <c r="L163" s="222" t="s">
        <v>532</v>
      </c>
      <c r="M163" s="225"/>
      <c r="N163" s="226"/>
      <c r="O163" s="222" t="s">
        <v>526</v>
      </c>
      <c r="P163" s="225"/>
      <c r="Q163" s="226"/>
      <c r="R163" s="222" t="s">
        <v>287</v>
      </c>
      <c r="S163" s="225"/>
      <c r="T163" s="226"/>
      <c r="U163" s="413" t="s">
        <v>527</v>
      </c>
      <c r="V163" s="226"/>
      <c r="W163" s="226"/>
      <c r="X163" s="161" t="s">
        <v>213</v>
      </c>
      <c r="Y163" s="147"/>
      <c r="Z163" s="7"/>
      <c r="AA163" s="7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</row>
    <row r="164" spans="2:39" ht="15.5" x14ac:dyDescent="0.3">
      <c r="B164" s="159" t="s">
        <v>0</v>
      </c>
      <c r="C164" s="170" t="s">
        <v>166</v>
      </c>
      <c r="D164" s="160" t="s">
        <v>2</v>
      </c>
      <c r="E164" s="160" t="s">
        <v>3</v>
      </c>
      <c r="F164" s="217" t="s">
        <v>523</v>
      </c>
      <c r="G164" s="218"/>
      <c r="H164" s="219"/>
      <c r="I164" s="217" t="s">
        <v>525</v>
      </c>
      <c r="J164" s="220"/>
      <c r="K164" s="221"/>
      <c r="L164" s="217" t="s">
        <v>664</v>
      </c>
      <c r="M164" s="220"/>
      <c r="N164" s="221"/>
      <c r="O164" s="217" t="s">
        <v>529</v>
      </c>
      <c r="P164" s="220"/>
      <c r="Q164" s="221"/>
      <c r="R164" s="217" t="s">
        <v>530</v>
      </c>
      <c r="S164" s="220"/>
      <c r="T164" s="221"/>
      <c r="U164" s="414" t="s">
        <v>528</v>
      </c>
      <c r="V164" s="255"/>
      <c r="W164" s="415"/>
      <c r="X164" s="160" t="s">
        <v>9</v>
      </c>
      <c r="Y164" s="147"/>
      <c r="Z164" s="7"/>
      <c r="AA164" s="7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</row>
    <row r="165" spans="2:39" ht="13" x14ac:dyDescent="0.3">
      <c r="B165" s="163"/>
      <c r="C165" s="501"/>
      <c r="D165" s="157"/>
      <c r="E165" s="157"/>
      <c r="F165" s="131" t="s">
        <v>33</v>
      </c>
      <c r="G165" s="131" t="s">
        <v>34</v>
      </c>
      <c r="H165" s="132" t="s">
        <v>35</v>
      </c>
      <c r="I165" s="131" t="s">
        <v>33</v>
      </c>
      <c r="J165" s="131" t="s">
        <v>34</v>
      </c>
      <c r="K165" s="132" t="s">
        <v>35</v>
      </c>
      <c r="L165" s="131" t="s">
        <v>33</v>
      </c>
      <c r="M165" s="131" t="s">
        <v>34</v>
      </c>
      <c r="N165" s="132" t="s">
        <v>35</v>
      </c>
      <c r="O165" s="131" t="s">
        <v>33</v>
      </c>
      <c r="P165" s="131" t="s">
        <v>34</v>
      </c>
      <c r="Q165" s="132" t="s">
        <v>35</v>
      </c>
      <c r="R165" s="131" t="s">
        <v>33</v>
      </c>
      <c r="S165" s="131" t="s">
        <v>34</v>
      </c>
      <c r="T165" s="132" t="s">
        <v>35</v>
      </c>
      <c r="U165" s="131" t="s">
        <v>33</v>
      </c>
      <c r="V165" s="131" t="s">
        <v>34</v>
      </c>
      <c r="W165" s="132" t="s">
        <v>35</v>
      </c>
      <c r="X165" s="157"/>
      <c r="Y165" s="147"/>
      <c r="Z165" s="7"/>
      <c r="AA165" s="7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</row>
    <row r="166" spans="2:39" ht="13" x14ac:dyDescent="0.3">
      <c r="B166" s="133">
        <v>1</v>
      </c>
      <c r="C166" s="502" t="s">
        <v>598</v>
      </c>
      <c r="D166" s="227">
        <v>5</v>
      </c>
      <c r="E166" s="137"/>
      <c r="F166" s="135">
        <f>IFERROR(VLOOKUP(C166,'01_RS ALCARRIA'!$F$6:$R$36,13,FALSE),"")</f>
        <v>6</v>
      </c>
      <c r="G166" s="135">
        <f>IFERROR(VLOOKUP(C166,'01_RS ALCARRIA'!$F$6:$T$36,15,FALSE),"")</f>
        <v>10</v>
      </c>
      <c r="H166" s="138">
        <f>(F166+G166)*2</f>
        <v>32</v>
      </c>
      <c r="I166" s="135"/>
      <c r="J166" s="135"/>
      <c r="K166" s="138"/>
      <c r="L166" s="135"/>
      <c r="M166" s="135"/>
      <c r="N166" s="138"/>
      <c r="O166" s="135"/>
      <c r="P166" s="135"/>
      <c r="Q166" s="138"/>
      <c r="R166" s="135"/>
      <c r="S166" s="135"/>
      <c r="T166" s="138"/>
      <c r="U166" s="135"/>
      <c r="V166" s="135"/>
      <c r="W166" s="138"/>
      <c r="X166" s="139">
        <f>H166+K166+N166+Q166+T166+W166</f>
        <v>32</v>
      </c>
      <c r="Y166" s="147"/>
      <c r="Z166" s="7"/>
      <c r="AA166" s="7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</row>
    <row r="167" spans="2:39" ht="13" x14ac:dyDescent="0.3">
      <c r="B167" s="133" t="s">
        <v>658</v>
      </c>
      <c r="C167" s="502" t="s">
        <v>627</v>
      </c>
      <c r="D167" s="227">
        <v>5</v>
      </c>
      <c r="E167" s="137"/>
      <c r="F167" s="135">
        <v>0</v>
      </c>
      <c r="G167" s="135">
        <v>0</v>
      </c>
      <c r="H167" s="138">
        <f t="shared" ref="H167:H169" si="28">(F167+G167)</f>
        <v>0</v>
      </c>
      <c r="I167" s="135"/>
      <c r="J167" s="135"/>
      <c r="K167" s="138"/>
      <c r="L167" s="135"/>
      <c r="M167" s="135"/>
      <c r="N167" s="138"/>
      <c r="O167" s="135"/>
      <c r="P167" s="135"/>
      <c r="Q167" s="138"/>
      <c r="R167" s="135"/>
      <c r="S167" s="135"/>
      <c r="T167" s="138"/>
      <c r="U167" s="135"/>
      <c r="V167" s="135"/>
      <c r="W167" s="138"/>
      <c r="X167" s="139">
        <f>H167+K167+N167+Q167+T167+W167</f>
        <v>0</v>
      </c>
      <c r="Y167" s="147"/>
      <c r="Z167" s="7"/>
      <c r="AA167" s="7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</row>
    <row r="168" spans="2:39" ht="13" x14ac:dyDescent="0.3">
      <c r="B168" s="133" t="s">
        <v>658</v>
      </c>
      <c r="C168" s="502" t="s">
        <v>631</v>
      </c>
      <c r="D168" s="227">
        <v>5</v>
      </c>
      <c r="E168" s="137"/>
      <c r="F168" s="135">
        <v>0</v>
      </c>
      <c r="G168" s="135">
        <v>0</v>
      </c>
      <c r="H168" s="138">
        <f t="shared" si="28"/>
        <v>0</v>
      </c>
      <c r="I168" s="135"/>
      <c r="J168" s="135"/>
      <c r="K168" s="138"/>
      <c r="L168" s="135"/>
      <c r="M168" s="135"/>
      <c r="N168" s="138"/>
      <c r="O168" s="135"/>
      <c r="P168" s="135"/>
      <c r="Q168" s="138"/>
      <c r="R168" s="135"/>
      <c r="S168" s="135"/>
      <c r="T168" s="138"/>
      <c r="U168" s="135"/>
      <c r="V168" s="135"/>
      <c r="W168" s="138"/>
      <c r="X168" s="139">
        <f>H168+K168+N168+Q168+T168+W168</f>
        <v>0</v>
      </c>
      <c r="Y168" s="147"/>
      <c r="Z168" s="7"/>
      <c r="AA168" s="7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</row>
    <row r="169" spans="2:39" ht="13" x14ac:dyDescent="0.3">
      <c r="B169" s="133" t="s">
        <v>658</v>
      </c>
      <c r="C169" s="502" t="s">
        <v>636</v>
      </c>
      <c r="D169" s="227">
        <v>5</v>
      </c>
      <c r="E169" s="137"/>
      <c r="F169" s="135">
        <v>0</v>
      </c>
      <c r="G169" s="135">
        <v>0</v>
      </c>
      <c r="H169" s="138">
        <f t="shared" si="28"/>
        <v>0</v>
      </c>
      <c r="I169" s="135"/>
      <c r="J169" s="135"/>
      <c r="K169" s="138"/>
      <c r="L169" s="135"/>
      <c r="M169" s="135"/>
      <c r="N169" s="138"/>
      <c r="O169" s="135"/>
      <c r="P169" s="135"/>
      <c r="Q169" s="138"/>
      <c r="R169" s="135"/>
      <c r="S169" s="135"/>
      <c r="T169" s="138"/>
      <c r="U169" s="135"/>
      <c r="V169" s="135"/>
      <c r="W169" s="138"/>
      <c r="X169" s="139">
        <f>H169+K169+N169+Q169+T169+W169</f>
        <v>0</v>
      </c>
      <c r="Y169" s="147"/>
      <c r="Z169" s="7"/>
      <c r="AA169" s="7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</row>
    <row r="170" spans="2:39" ht="12" x14ac:dyDescent="0.3">
      <c r="B170" s="155"/>
      <c r="C170" s="236"/>
      <c r="D170" s="155"/>
      <c r="E170" s="155"/>
      <c r="F170" s="147"/>
      <c r="G170" s="147"/>
      <c r="H170" s="147"/>
      <c r="I170" s="147"/>
      <c r="J170" s="147"/>
      <c r="K170" s="147"/>
      <c r="L170" s="147"/>
      <c r="M170" s="147"/>
      <c r="N170" s="147"/>
      <c r="O170" s="147"/>
      <c r="P170" s="147"/>
      <c r="Q170" s="147"/>
      <c r="R170" s="147"/>
      <c r="S170" s="147"/>
      <c r="T170" s="147"/>
      <c r="U170" s="147"/>
      <c r="V170" s="147"/>
      <c r="W170" s="147"/>
      <c r="X170" s="147"/>
      <c r="Y170" s="147"/>
      <c r="Z170" s="7"/>
      <c r="AA170" s="7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</row>
    <row r="171" spans="2:39" ht="12" x14ac:dyDescent="0.3">
      <c r="B171" s="155"/>
      <c r="C171" s="236"/>
      <c r="D171" s="284"/>
      <c r="E171" s="285" t="s">
        <v>534</v>
      </c>
      <c r="F171" s="147"/>
      <c r="G171" s="147"/>
      <c r="H171" s="147"/>
      <c r="I171" s="147"/>
      <c r="J171" s="147"/>
      <c r="K171" s="147"/>
      <c r="L171" s="147"/>
      <c r="M171" s="147"/>
      <c r="N171" s="147"/>
      <c r="O171" s="147"/>
      <c r="P171" s="147"/>
      <c r="Q171" s="147"/>
      <c r="R171" s="147"/>
      <c r="S171" s="147"/>
      <c r="T171" s="147"/>
      <c r="U171" s="147"/>
      <c r="V171" s="147"/>
      <c r="W171" s="147"/>
      <c r="X171" s="147"/>
      <c r="Y171" s="147"/>
      <c r="Z171" s="7"/>
      <c r="AA171" s="7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</row>
    <row r="172" spans="2:39" ht="12" x14ac:dyDescent="0.3">
      <c r="B172" s="155"/>
      <c r="C172" s="236"/>
      <c r="D172" s="155"/>
      <c r="E172" s="155"/>
      <c r="F172" s="147"/>
      <c r="G172" s="147"/>
      <c r="H172" s="147"/>
      <c r="I172" s="147"/>
      <c r="J172" s="147"/>
      <c r="K172" s="147"/>
      <c r="L172" s="147"/>
      <c r="M172" s="147"/>
      <c r="N172" s="147"/>
      <c r="O172" s="147"/>
      <c r="P172" s="147"/>
      <c r="Q172" s="147"/>
      <c r="R172" s="147"/>
      <c r="S172" s="147"/>
      <c r="T172" s="147"/>
      <c r="U172" s="147"/>
      <c r="V172" s="147"/>
      <c r="W172" s="147"/>
      <c r="X172" s="147"/>
      <c r="Y172" s="147"/>
      <c r="Z172" s="7"/>
      <c r="AA172" s="7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</row>
    <row r="173" spans="2:39" ht="12" x14ac:dyDescent="0.3">
      <c r="B173" s="155"/>
      <c r="C173" s="236"/>
      <c r="D173" s="155"/>
      <c r="E173" s="155"/>
      <c r="F173" s="147"/>
      <c r="G173" s="147"/>
      <c r="H173" s="147"/>
      <c r="I173" s="147"/>
      <c r="J173" s="147"/>
      <c r="K173" s="147"/>
      <c r="L173" s="147"/>
      <c r="M173" s="147"/>
      <c r="N173" s="147"/>
      <c r="O173" s="147"/>
      <c r="P173" s="147"/>
      <c r="Q173" s="147"/>
      <c r="R173" s="147"/>
      <c r="S173" s="147"/>
      <c r="T173" s="147"/>
      <c r="U173" s="147"/>
      <c r="V173" s="147"/>
      <c r="W173" s="147"/>
      <c r="X173" s="147"/>
      <c r="Y173" s="147"/>
      <c r="Z173" s="7"/>
      <c r="AA173" s="7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</row>
    <row r="174" spans="2:39" ht="12" x14ac:dyDescent="0.3">
      <c r="B174" s="155"/>
      <c r="C174" s="236"/>
      <c r="D174" s="155"/>
      <c r="E174" s="155"/>
      <c r="F174" s="147"/>
      <c r="G174" s="147"/>
      <c r="H174" s="147"/>
      <c r="I174" s="147"/>
      <c r="J174" s="147"/>
      <c r="K174" s="147"/>
      <c r="L174" s="147"/>
      <c r="M174" s="147"/>
      <c r="N174" s="147"/>
      <c r="O174" s="147"/>
      <c r="P174" s="147"/>
      <c r="Q174" s="147"/>
      <c r="R174" s="147"/>
      <c r="S174" s="147"/>
      <c r="T174" s="147"/>
      <c r="U174" s="147"/>
      <c r="V174" s="147"/>
      <c r="W174" s="147"/>
      <c r="X174" s="147"/>
      <c r="Y174" s="147"/>
      <c r="Z174" s="7"/>
      <c r="AA174" s="7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</row>
    <row r="175" spans="2:39" ht="39" customHeight="1" x14ac:dyDescent="0.55000000000000004">
      <c r="B175" s="164" t="s">
        <v>517</v>
      </c>
      <c r="C175" s="165"/>
      <c r="D175" s="165"/>
      <c r="E175" s="165"/>
      <c r="F175" s="165"/>
      <c r="G175" s="165"/>
      <c r="H175" s="165"/>
      <c r="I175" s="165"/>
      <c r="J175" s="165"/>
      <c r="K175" s="165"/>
      <c r="L175" s="165"/>
      <c r="M175" s="165"/>
      <c r="N175" s="165"/>
      <c r="O175" s="165"/>
      <c r="P175" s="165"/>
      <c r="Q175" s="165"/>
      <c r="R175" s="165"/>
      <c r="S175" s="165"/>
      <c r="T175" s="165"/>
      <c r="U175" s="165"/>
      <c r="V175" s="165"/>
      <c r="W175" s="165"/>
      <c r="X175" s="165"/>
    </row>
    <row r="176" spans="2:39" ht="37.5" customHeight="1" x14ac:dyDescent="0.3">
      <c r="B176" s="166" t="s">
        <v>224</v>
      </c>
      <c r="C176" s="167"/>
      <c r="D176" s="167"/>
      <c r="E176" s="167"/>
      <c r="F176" s="167"/>
      <c r="G176" s="167"/>
      <c r="H176" s="167"/>
      <c r="I176" s="167"/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/>
      <c r="W176" s="167"/>
      <c r="X176" s="167"/>
      <c r="Y176" s="30"/>
      <c r="Z176" s="30"/>
    </row>
    <row r="177" spans="2:28" ht="12.75" customHeight="1" x14ac:dyDescent="0.3">
      <c r="B177" s="162"/>
      <c r="C177" s="168"/>
      <c r="D177" s="161"/>
      <c r="E177" s="161"/>
      <c r="F177" s="222" t="s">
        <v>220</v>
      </c>
      <c r="G177" s="223"/>
      <c r="H177" s="224"/>
      <c r="I177" s="222" t="s">
        <v>663</v>
      </c>
      <c r="J177" s="225"/>
      <c r="K177" s="226"/>
      <c r="L177" s="222" t="s">
        <v>532</v>
      </c>
      <c r="M177" s="225"/>
      <c r="N177" s="226"/>
      <c r="O177" s="222" t="s">
        <v>526</v>
      </c>
      <c r="P177" s="225"/>
      <c r="Q177" s="226"/>
      <c r="R177" s="222" t="s">
        <v>287</v>
      </c>
      <c r="S177" s="225"/>
      <c r="T177" s="226"/>
      <c r="U177" s="413" t="s">
        <v>527</v>
      </c>
      <c r="V177" s="226"/>
      <c r="W177" s="226"/>
      <c r="X177" s="161" t="s">
        <v>213</v>
      </c>
      <c r="Y177" s="30"/>
      <c r="Z177" s="30"/>
    </row>
    <row r="178" spans="2:28" ht="12.75" customHeight="1" x14ac:dyDescent="0.3">
      <c r="B178" s="159" t="s">
        <v>0</v>
      </c>
      <c r="C178" s="170" t="s">
        <v>1</v>
      </c>
      <c r="D178" s="160" t="s">
        <v>2</v>
      </c>
      <c r="E178" s="160" t="s">
        <v>3</v>
      </c>
      <c r="F178" s="217" t="s">
        <v>523</v>
      </c>
      <c r="G178" s="218"/>
      <c r="H178" s="219"/>
      <c r="I178" s="217" t="s">
        <v>525</v>
      </c>
      <c r="J178" s="220"/>
      <c r="K178" s="221"/>
      <c r="L178" s="217" t="s">
        <v>664</v>
      </c>
      <c r="M178" s="220"/>
      <c r="N178" s="221"/>
      <c r="O178" s="217" t="s">
        <v>529</v>
      </c>
      <c r="P178" s="220"/>
      <c r="Q178" s="221"/>
      <c r="R178" s="217" t="s">
        <v>530</v>
      </c>
      <c r="S178" s="220"/>
      <c r="T178" s="221"/>
      <c r="U178" s="414" t="s">
        <v>528</v>
      </c>
      <c r="V178" s="255"/>
      <c r="W178" s="415"/>
      <c r="X178" s="160" t="s">
        <v>9</v>
      </c>
      <c r="Y178" s="519" t="s">
        <v>223</v>
      </c>
      <c r="Z178" s="521" t="s">
        <v>4</v>
      </c>
    </row>
    <row r="179" spans="2:28" ht="12.75" customHeight="1" x14ac:dyDescent="0.3">
      <c r="B179" s="163"/>
      <c r="C179" s="169"/>
      <c r="D179" s="157"/>
      <c r="E179" s="157"/>
      <c r="F179" s="131" t="s">
        <v>33</v>
      </c>
      <c r="G179" s="131" t="s">
        <v>34</v>
      </c>
      <c r="H179" s="132" t="s">
        <v>35</v>
      </c>
      <c r="I179" s="131" t="s">
        <v>33</v>
      </c>
      <c r="J179" s="131" t="s">
        <v>34</v>
      </c>
      <c r="K179" s="132" t="s">
        <v>35</v>
      </c>
      <c r="L179" s="131" t="s">
        <v>33</v>
      </c>
      <c r="M179" s="131" t="s">
        <v>34</v>
      </c>
      <c r="N179" s="132" t="s">
        <v>35</v>
      </c>
      <c r="O179" s="131" t="s">
        <v>33</v>
      </c>
      <c r="P179" s="131" t="s">
        <v>34</v>
      </c>
      <c r="Q179" s="132" t="s">
        <v>35</v>
      </c>
      <c r="R179" s="131" t="s">
        <v>33</v>
      </c>
      <c r="S179" s="131" t="s">
        <v>34</v>
      </c>
      <c r="T179" s="132" t="s">
        <v>35</v>
      </c>
      <c r="U179" s="131" t="s">
        <v>33</v>
      </c>
      <c r="V179" s="131" t="s">
        <v>34</v>
      </c>
      <c r="W179" s="132" t="s">
        <v>35</v>
      </c>
      <c r="X179" s="157"/>
      <c r="Y179" s="520"/>
      <c r="Z179" s="522"/>
    </row>
    <row r="180" spans="2:28" ht="12.75" customHeight="1" x14ac:dyDescent="0.3">
      <c r="B180" s="133">
        <v>1</v>
      </c>
      <c r="C180" s="142" t="s">
        <v>570</v>
      </c>
      <c r="D180" s="227">
        <v>6</v>
      </c>
      <c r="E180" s="137"/>
      <c r="F180" s="135">
        <f>IFERROR(VLOOKUP(C180,'01_RS ALCARRIA'!$D$41:$M$45,10, FALSE), " ")</f>
        <v>25</v>
      </c>
      <c r="G180" s="284">
        <f>IFERROR(VLOOKUP(C180,'01_RS ALCARRIA'!$D$41:$O$45,12, FALSE), " ")/2</f>
        <v>5</v>
      </c>
      <c r="H180" s="138">
        <f>(F180+G180)*2</f>
        <v>60</v>
      </c>
      <c r="I180" s="135"/>
      <c r="J180" s="135"/>
      <c r="K180" s="138"/>
      <c r="L180" s="135"/>
      <c r="M180" s="135"/>
      <c r="N180" s="138"/>
      <c r="O180" s="135"/>
      <c r="P180" s="135"/>
      <c r="Q180" s="138"/>
      <c r="R180" s="135"/>
      <c r="S180" s="135"/>
      <c r="T180" s="138"/>
      <c r="U180" s="135"/>
      <c r="V180" s="135"/>
      <c r="W180" s="138"/>
      <c r="X180" s="139">
        <f>H180+K180+N180+Q180+T180+W180</f>
        <v>60</v>
      </c>
      <c r="Y180" s="140" t="str">
        <f>IF(Z180&gt;=3,"Sí","No")</f>
        <v>No</v>
      </c>
      <c r="Z180" s="141">
        <f>COUNTA(H180,K180,N180,Q180,T180,W180)</f>
        <v>1</v>
      </c>
    </row>
    <row r="181" spans="2:28" ht="12.75" customHeight="1" x14ac:dyDescent="0.3">
      <c r="B181" s="133">
        <v>2</v>
      </c>
      <c r="C181" s="142" t="s">
        <v>571</v>
      </c>
      <c r="D181" s="227">
        <v>6</v>
      </c>
      <c r="E181" s="137"/>
      <c r="F181" s="135">
        <f>IFERROR(VLOOKUP(C181,'01_RS ALCARRIA'!$D$41:$M$45,10, FALSE), " ")</f>
        <v>20</v>
      </c>
      <c r="G181" s="284">
        <f>IFERROR(VLOOKUP(C181,'01_RS ALCARRIA'!$D$41:$O$45,12, FALSE), " ")/2</f>
        <v>4</v>
      </c>
      <c r="H181" s="138">
        <f t="shared" ref="H181" si="29">(F181+G181)*2</f>
        <v>48</v>
      </c>
      <c r="I181" s="135"/>
      <c r="J181" s="135"/>
      <c r="K181" s="138"/>
      <c r="L181" s="135"/>
      <c r="M181" s="135"/>
      <c r="N181" s="138"/>
      <c r="O181" s="135"/>
      <c r="P181" s="135"/>
      <c r="Q181" s="138"/>
      <c r="R181" s="135"/>
      <c r="S181" s="135"/>
      <c r="T181" s="138"/>
      <c r="U181" s="135"/>
      <c r="V181" s="135"/>
      <c r="W181" s="138"/>
      <c r="X181" s="139">
        <f t="shared" ref="X181" si="30">H181+K181+N181+Q181+T181+W181</f>
        <v>48</v>
      </c>
      <c r="Y181" s="140" t="str">
        <f>IF(Z181&gt;=3,"Sí","No")</f>
        <v>No</v>
      </c>
      <c r="Z181" s="141">
        <f t="shared" ref="Z181" si="31">COUNTA(H181,K181,N181,Q181,T181,W181)</f>
        <v>1</v>
      </c>
    </row>
    <row r="182" spans="2:28" ht="12" x14ac:dyDescent="0.3">
      <c r="B182" s="155"/>
      <c r="C182" s="155"/>
      <c r="D182" s="155"/>
      <c r="E182" s="155"/>
      <c r="F182" s="155"/>
      <c r="G182" s="155"/>
      <c r="H182" s="155"/>
      <c r="I182" s="155"/>
      <c r="J182" s="155"/>
      <c r="K182" s="155"/>
      <c r="L182" s="155"/>
      <c r="M182" s="155"/>
      <c r="N182" s="155"/>
      <c r="O182" s="155"/>
      <c r="P182" s="155"/>
      <c r="Q182" s="155"/>
      <c r="R182" s="155"/>
      <c r="S182" s="155"/>
      <c r="T182" s="155"/>
      <c r="U182" s="155"/>
      <c r="V182" s="155"/>
      <c r="W182" s="155"/>
      <c r="X182" s="155"/>
      <c r="Y182" s="149"/>
    </row>
    <row r="183" spans="2:28" ht="12.75" customHeight="1" x14ac:dyDescent="0.3">
      <c r="B183" s="1"/>
      <c r="C183" s="235"/>
      <c r="D183" s="284"/>
      <c r="E183" s="285" t="s">
        <v>534</v>
      </c>
      <c r="F183" s="147"/>
      <c r="G183" s="147"/>
      <c r="H183" s="147"/>
      <c r="I183" s="147"/>
      <c r="J183" s="147"/>
      <c r="K183" s="147"/>
      <c r="L183" s="147"/>
      <c r="M183" s="147"/>
      <c r="N183" s="147"/>
      <c r="O183" s="147"/>
      <c r="P183" s="147"/>
      <c r="Q183" s="147"/>
      <c r="R183" s="147"/>
      <c r="S183" s="147"/>
      <c r="T183" s="147"/>
      <c r="U183" s="147"/>
      <c r="V183" s="147"/>
      <c r="W183" s="147"/>
      <c r="X183" s="147"/>
      <c r="Y183" s="147"/>
      <c r="Z183" s="147"/>
      <c r="AA183" s="148"/>
      <c r="AB183" s="262"/>
    </row>
    <row r="184" spans="2:28" ht="12" x14ac:dyDescent="0.3">
      <c r="B184" s="155"/>
      <c r="C184" s="155"/>
      <c r="D184" s="155"/>
      <c r="E184" s="155"/>
      <c r="F184" s="155"/>
      <c r="G184" s="155"/>
      <c r="H184" s="155"/>
      <c r="I184" s="155"/>
      <c r="J184" s="155"/>
      <c r="K184" s="155"/>
      <c r="L184" s="155"/>
      <c r="M184" s="155"/>
      <c r="N184" s="155"/>
      <c r="O184" s="155"/>
      <c r="P184" s="155"/>
      <c r="Q184" s="155"/>
      <c r="R184" s="155"/>
      <c r="S184" s="155"/>
      <c r="T184" s="155"/>
      <c r="U184" s="155"/>
      <c r="V184" s="155"/>
      <c r="W184" s="155"/>
      <c r="X184" s="155"/>
    </row>
    <row r="185" spans="2:28" ht="39" customHeight="1" x14ac:dyDescent="0.55000000000000004">
      <c r="B185" s="164" t="s">
        <v>517</v>
      </c>
      <c r="C185" s="165"/>
      <c r="D185" s="165"/>
      <c r="E185" s="165"/>
      <c r="F185" s="165"/>
      <c r="G185" s="165"/>
      <c r="H185" s="165"/>
      <c r="I185" s="165"/>
      <c r="J185" s="165"/>
      <c r="K185" s="165"/>
      <c r="L185" s="165"/>
      <c r="M185" s="165"/>
      <c r="N185" s="165"/>
      <c r="O185" s="165"/>
      <c r="P185" s="165"/>
      <c r="Q185" s="165"/>
      <c r="R185" s="165"/>
      <c r="S185" s="165"/>
      <c r="T185" s="165"/>
      <c r="U185" s="165"/>
      <c r="V185" s="165"/>
      <c r="W185" s="165"/>
      <c r="X185" s="165"/>
    </row>
    <row r="186" spans="2:28" ht="37.5" customHeight="1" x14ac:dyDescent="0.3">
      <c r="B186" s="166" t="s">
        <v>338</v>
      </c>
      <c r="C186" s="167"/>
      <c r="D186" s="167"/>
      <c r="E186" s="167"/>
      <c r="F186" s="167"/>
      <c r="G186" s="167"/>
      <c r="H186" s="167"/>
      <c r="I186" s="167"/>
      <c r="J186" s="167"/>
      <c r="K186" s="167"/>
      <c r="L186" s="167"/>
      <c r="M186" s="167"/>
      <c r="N186" s="167"/>
      <c r="O186" s="167"/>
      <c r="P186" s="167"/>
      <c r="Q186" s="167"/>
      <c r="R186" s="167"/>
      <c r="S186" s="167"/>
      <c r="T186" s="167"/>
      <c r="U186" s="167"/>
      <c r="V186" s="167"/>
      <c r="W186" s="167"/>
      <c r="X186" s="167"/>
      <c r="Y186" s="30"/>
      <c r="Z186" s="30"/>
    </row>
    <row r="187" spans="2:28" ht="12.75" customHeight="1" x14ac:dyDescent="0.3">
      <c r="B187" s="162"/>
      <c r="C187" s="168"/>
      <c r="D187" s="161"/>
      <c r="E187" s="161"/>
      <c r="F187" s="222" t="s">
        <v>220</v>
      </c>
      <c r="G187" s="223"/>
      <c r="H187" s="224"/>
      <c r="I187" s="222" t="s">
        <v>663</v>
      </c>
      <c r="J187" s="225"/>
      <c r="K187" s="226"/>
      <c r="L187" s="222" t="s">
        <v>532</v>
      </c>
      <c r="M187" s="225"/>
      <c r="N187" s="226"/>
      <c r="O187" s="222" t="s">
        <v>526</v>
      </c>
      <c r="P187" s="225"/>
      <c r="Q187" s="226"/>
      <c r="R187" s="222" t="s">
        <v>287</v>
      </c>
      <c r="S187" s="225"/>
      <c r="T187" s="226"/>
      <c r="U187" s="413" t="s">
        <v>527</v>
      </c>
      <c r="V187" s="226"/>
      <c r="W187" s="226"/>
      <c r="X187" s="161" t="s">
        <v>213</v>
      </c>
      <c r="Y187" s="30"/>
      <c r="Z187" s="30"/>
    </row>
    <row r="188" spans="2:28" ht="12.75" customHeight="1" x14ac:dyDescent="0.3">
      <c r="B188" s="159" t="s">
        <v>0</v>
      </c>
      <c r="C188" s="170" t="s">
        <v>166</v>
      </c>
      <c r="D188" s="160" t="s">
        <v>2</v>
      </c>
      <c r="E188" s="160" t="s">
        <v>3</v>
      </c>
      <c r="F188" s="217" t="s">
        <v>523</v>
      </c>
      <c r="G188" s="218"/>
      <c r="H188" s="219"/>
      <c r="I188" s="217" t="s">
        <v>525</v>
      </c>
      <c r="J188" s="220"/>
      <c r="K188" s="221"/>
      <c r="L188" s="217" t="s">
        <v>664</v>
      </c>
      <c r="M188" s="220"/>
      <c r="N188" s="221"/>
      <c r="O188" s="217" t="s">
        <v>529</v>
      </c>
      <c r="P188" s="220"/>
      <c r="Q188" s="221"/>
      <c r="R188" s="217" t="s">
        <v>530</v>
      </c>
      <c r="S188" s="220"/>
      <c r="T188" s="221"/>
      <c r="U188" s="414" t="s">
        <v>528</v>
      </c>
      <c r="V188" s="255"/>
      <c r="W188" s="415"/>
      <c r="X188" s="160" t="s">
        <v>9</v>
      </c>
      <c r="Y188" s="519" t="s">
        <v>223</v>
      </c>
      <c r="Z188" s="521" t="s">
        <v>4</v>
      </c>
    </row>
    <row r="189" spans="2:28" ht="12.75" customHeight="1" x14ac:dyDescent="0.3">
      <c r="B189" s="163"/>
      <c r="C189" s="169"/>
      <c r="D189" s="157"/>
      <c r="E189" s="157"/>
      <c r="F189" s="131" t="s">
        <v>33</v>
      </c>
      <c r="G189" s="131" t="s">
        <v>34</v>
      </c>
      <c r="H189" s="132" t="s">
        <v>35</v>
      </c>
      <c r="I189" s="131" t="s">
        <v>33</v>
      </c>
      <c r="J189" s="131" t="s">
        <v>34</v>
      </c>
      <c r="K189" s="132" t="s">
        <v>35</v>
      </c>
      <c r="L189" s="131" t="s">
        <v>33</v>
      </c>
      <c r="M189" s="131" t="s">
        <v>34</v>
      </c>
      <c r="N189" s="132" t="s">
        <v>35</v>
      </c>
      <c r="O189" s="131" t="s">
        <v>33</v>
      </c>
      <c r="P189" s="131" t="s">
        <v>34</v>
      </c>
      <c r="Q189" s="132" t="s">
        <v>35</v>
      </c>
      <c r="R189" s="131" t="s">
        <v>33</v>
      </c>
      <c r="S189" s="131" t="s">
        <v>34</v>
      </c>
      <c r="T189" s="132" t="s">
        <v>35</v>
      </c>
      <c r="U189" s="131" t="s">
        <v>33</v>
      </c>
      <c r="V189" s="131" t="s">
        <v>34</v>
      </c>
      <c r="W189" s="132" t="s">
        <v>35</v>
      </c>
      <c r="X189" s="157"/>
      <c r="Y189" s="520"/>
      <c r="Z189" s="522"/>
    </row>
    <row r="190" spans="2:28" ht="12.75" customHeight="1" x14ac:dyDescent="0.3">
      <c r="B190" s="133">
        <v>1</v>
      </c>
      <c r="C190" s="151" t="s">
        <v>572</v>
      </c>
      <c r="D190" s="227">
        <v>6</v>
      </c>
      <c r="E190" s="136"/>
      <c r="F190" s="135">
        <f>IFERROR(VLOOKUP(C190,'01_RS ALCARRIA'!$F$41:$R$45,13,FALSE),"")</f>
        <v>25</v>
      </c>
      <c r="G190" s="284">
        <f>IFERROR(VLOOKUP(C190,'01_RS ALCARRIA'!$F$41:$T$45,15,FALSE),"")/2</f>
        <v>5</v>
      </c>
      <c r="H190" s="138">
        <f>(F190+G190)*2</f>
        <v>60</v>
      </c>
      <c r="I190" s="135"/>
      <c r="J190" s="135"/>
      <c r="K190" s="138"/>
      <c r="L190" s="135"/>
      <c r="M190" s="135"/>
      <c r="N190" s="138"/>
      <c r="O190" s="135"/>
      <c r="P190" s="135"/>
      <c r="Q190" s="138"/>
      <c r="R190" s="135"/>
      <c r="S190" s="135"/>
      <c r="T190" s="138"/>
      <c r="U190" s="135"/>
      <c r="V190" s="135"/>
      <c r="W190" s="138"/>
      <c r="X190" s="139">
        <f>H190+K190+N190+Q190+T190+W190</f>
        <v>60</v>
      </c>
      <c r="Y190" s="140" t="str">
        <f t="shared" ref="Y190:Y191" si="32">IF(Z190&gt;=2,"Sí","No")</f>
        <v>No</v>
      </c>
      <c r="Z190" s="141">
        <f>COUNTA(H190,K190,N190,Q190,T190,W190)</f>
        <v>1</v>
      </c>
    </row>
    <row r="191" spans="2:28" ht="12.75" customHeight="1" x14ac:dyDescent="0.3">
      <c r="B191" s="133">
        <v>2</v>
      </c>
      <c r="C191" s="151" t="s">
        <v>573</v>
      </c>
      <c r="D191" s="227">
        <v>6</v>
      </c>
      <c r="E191" s="135"/>
      <c r="F191" s="135">
        <f>IFERROR(VLOOKUP(C191,'01_RS ALCARRIA'!$F$41:$R$45,13,FALSE),"")</f>
        <v>20</v>
      </c>
      <c r="G191" s="284">
        <f>IFERROR(VLOOKUP(C191,'01_RS ALCARRIA'!$F$41:$T$45,15,FALSE),"")/2</f>
        <v>4</v>
      </c>
      <c r="H191" s="138">
        <f t="shared" ref="H191" si="33">(F191+G191)*2</f>
        <v>48</v>
      </c>
      <c r="I191" s="135"/>
      <c r="J191" s="135"/>
      <c r="K191" s="138"/>
      <c r="L191" s="135"/>
      <c r="M191" s="135"/>
      <c r="N191" s="138"/>
      <c r="O191" s="135"/>
      <c r="P191" s="135"/>
      <c r="Q191" s="138"/>
      <c r="R191" s="135"/>
      <c r="S191" s="135"/>
      <c r="T191" s="138"/>
      <c r="U191" s="135"/>
      <c r="V191" s="135"/>
      <c r="W191" s="138"/>
      <c r="X191" s="139">
        <f t="shared" ref="X191" si="34">H191+K191+N191+Q191+T191+W191</f>
        <v>48</v>
      </c>
      <c r="Y191" s="140" t="str">
        <f t="shared" si="32"/>
        <v>No</v>
      </c>
      <c r="Z191" s="141">
        <f t="shared" ref="Z191" si="35">COUNTA(H191,K191,N191,Q191,T191,W191)</f>
        <v>1</v>
      </c>
    </row>
    <row r="192" spans="2:28" ht="13" x14ac:dyDescent="0.3">
      <c r="B192" s="152"/>
      <c r="C192" s="153"/>
      <c r="D192" s="154"/>
      <c r="E192" s="154"/>
      <c r="F192" s="154"/>
      <c r="G192" s="154"/>
      <c r="H192" s="146"/>
      <c r="I192" s="154"/>
      <c r="J192" s="154"/>
      <c r="K192" s="155"/>
      <c r="L192" s="155"/>
      <c r="M192" s="155"/>
      <c r="N192" s="155"/>
      <c r="O192" s="155"/>
      <c r="P192" s="4"/>
      <c r="Q192" s="4"/>
      <c r="R192" s="155"/>
      <c r="S192" s="4"/>
      <c r="T192" s="4"/>
      <c r="U192" s="4"/>
      <c r="V192" s="4"/>
      <c r="W192" s="4"/>
      <c r="X192" s="4"/>
      <c r="Y192" s="149"/>
      <c r="Z192" s="127"/>
    </row>
    <row r="193" spans="2:28" ht="12.75" customHeight="1" x14ac:dyDescent="0.3">
      <c r="B193" s="1"/>
      <c r="C193" s="235"/>
      <c r="D193" s="284"/>
      <c r="E193" s="285" t="s">
        <v>534</v>
      </c>
      <c r="F193" s="147"/>
      <c r="G193" s="147"/>
      <c r="H193" s="147"/>
      <c r="I193" s="147"/>
      <c r="J193" s="147"/>
      <c r="K193" s="147"/>
      <c r="L193" s="147"/>
      <c r="M193" s="147"/>
      <c r="N193" s="147"/>
      <c r="O193" s="147"/>
      <c r="P193" s="147"/>
      <c r="Q193" s="147"/>
      <c r="R193" s="147"/>
      <c r="S193" s="147"/>
      <c r="T193" s="147"/>
      <c r="U193" s="147"/>
      <c r="V193" s="147"/>
      <c r="W193" s="147"/>
      <c r="X193" s="147"/>
      <c r="Y193" s="147"/>
      <c r="Z193" s="147"/>
      <c r="AA193" s="148"/>
      <c r="AB193" s="262"/>
    </row>
    <row r="194" spans="2:28" ht="13" x14ac:dyDescent="0.3">
      <c r="B194" s="152"/>
      <c r="C194" s="153"/>
      <c r="D194" s="154"/>
      <c r="E194" s="154"/>
      <c r="F194" s="154"/>
      <c r="G194" s="154"/>
      <c r="H194" s="146"/>
      <c r="I194" s="154"/>
      <c r="J194" s="154"/>
      <c r="K194" s="155"/>
      <c r="L194" s="155"/>
      <c r="M194" s="155"/>
      <c r="N194" s="155"/>
      <c r="O194" s="155"/>
      <c r="P194" s="155"/>
      <c r="Q194" s="155"/>
      <c r="R194" s="155"/>
      <c r="S194" s="155"/>
      <c r="T194" s="155"/>
      <c r="U194" s="155"/>
      <c r="V194" s="155"/>
      <c r="W194" s="155"/>
      <c r="X194" s="155"/>
      <c r="Y194" s="149"/>
      <c r="Z194" s="127"/>
    </row>
    <row r="195" spans="2:28" ht="13" x14ac:dyDescent="0.3">
      <c r="B195" s="152"/>
      <c r="C195" s="153"/>
      <c r="D195" s="154"/>
      <c r="E195" s="154"/>
      <c r="F195" s="154"/>
      <c r="G195" s="154"/>
      <c r="H195" s="146"/>
      <c r="I195" s="154"/>
      <c r="J195" s="154"/>
      <c r="K195" s="155"/>
      <c r="L195" s="155"/>
      <c r="M195" s="155"/>
      <c r="N195" s="155"/>
      <c r="O195" s="155"/>
      <c r="P195" s="155"/>
      <c r="Q195" s="155"/>
      <c r="R195" s="155"/>
      <c r="S195" s="155"/>
      <c r="T195" s="155"/>
      <c r="U195" s="155"/>
      <c r="V195" s="155"/>
      <c r="W195" s="155"/>
      <c r="X195" s="155"/>
      <c r="Y195" s="149"/>
      <c r="Z195" s="127"/>
    </row>
    <row r="196" spans="2:28" ht="39" customHeight="1" x14ac:dyDescent="0.55000000000000004">
      <c r="B196" s="164" t="s">
        <v>518</v>
      </c>
      <c r="C196" s="165"/>
      <c r="D196" s="165"/>
      <c r="E196" s="165"/>
      <c r="F196" s="165"/>
      <c r="G196" s="165"/>
      <c r="H196" s="165"/>
      <c r="I196" s="165"/>
      <c r="J196" s="165"/>
      <c r="K196" s="165"/>
      <c r="L196" s="165"/>
      <c r="M196" s="165"/>
      <c r="N196" s="165"/>
      <c r="O196" s="165"/>
      <c r="P196" s="165"/>
      <c r="Q196" s="165"/>
      <c r="R196" s="165"/>
      <c r="S196" s="165"/>
      <c r="T196" s="165"/>
      <c r="U196" s="165"/>
      <c r="V196" s="165"/>
      <c r="W196" s="165"/>
      <c r="X196" s="165"/>
    </row>
    <row r="197" spans="2:28" ht="37.5" customHeight="1" x14ac:dyDescent="0.3">
      <c r="B197" s="166" t="s">
        <v>224</v>
      </c>
      <c r="C197" s="167"/>
      <c r="D197" s="167"/>
      <c r="E197" s="167"/>
      <c r="F197" s="167"/>
      <c r="G197" s="167"/>
      <c r="H197" s="167"/>
      <c r="I197" s="167"/>
      <c r="J197" s="167"/>
      <c r="K197" s="167"/>
      <c r="L197" s="167"/>
      <c r="M197" s="167"/>
      <c r="N197" s="167"/>
      <c r="O197" s="167"/>
      <c r="P197" s="167"/>
      <c r="Q197" s="167"/>
      <c r="R197" s="167"/>
      <c r="S197" s="167"/>
      <c r="T197" s="167"/>
      <c r="U197" s="167"/>
      <c r="V197" s="167"/>
      <c r="W197" s="167"/>
      <c r="X197" s="167"/>
      <c r="Y197" s="30"/>
      <c r="Z197" s="30"/>
    </row>
    <row r="198" spans="2:28" ht="12.75" customHeight="1" x14ac:dyDescent="0.3">
      <c r="B198" s="162"/>
      <c r="C198" s="168"/>
      <c r="D198" s="161"/>
      <c r="E198" s="161"/>
      <c r="F198" s="222" t="s">
        <v>220</v>
      </c>
      <c r="G198" s="223"/>
      <c r="H198" s="224"/>
      <c r="I198" s="222" t="s">
        <v>663</v>
      </c>
      <c r="J198" s="225"/>
      <c r="K198" s="226"/>
      <c r="L198" s="222" t="s">
        <v>532</v>
      </c>
      <c r="M198" s="225"/>
      <c r="N198" s="226"/>
      <c r="O198" s="222" t="s">
        <v>526</v>
      </c>
      <c r="P198" s="225"/>
      <c r="Q198" s="226"/>
      <c r="R198" s="222" t="s">
        <v>287</v>
      </c>
      <c r="S198" s="225"/>
      <c r="T198" s="226"/>
      <c r="U198" s="413" t="s">
        <v>527</v>
      </c>
      <c r="V198" s="226"/>
      <c r="W198" s="226"/>
      <c r="X198" s="161" t="s">
        <v>213</v>
      </c>
      <c r="Y198" s="30"/>
      <c r="Z198" s="30"/>
    </row>
    <row r="199" spans="2:28" ht="12.75" customHeight="1" x14ac:dyDescent="0.3">
      <c r="B199" s="159" t="s">
        <v>0</v>
      </c>
      <c r="C199" s="170" t="s">
        <v>1</v>
      </c>
      <c r="D199" s="160" t="s">
        <v>2</v>
      </c>
      <c r="E199" s="160" t="s">
        <v>3</v>
      </c>
      <c r="F199" s="217" t="s">
        <v>523</v>
      </c>
      <c r="G199" s="218"/>
      <c r="H199" s="219"/>
      <c r="I199" s="217" t="s">
        <v>525</v>
      </c>
      <c r="J199" s="220"/>
      <c r="K199" s="221"/>
      <c r="L199" s="217" t="s">
        <v>664</v>
      </c>
      <c r="M199" s="220"/>
      <c r="N199" s="221"/>
      <c r="O199" s="217" t="s">
        <v>529</v>
      </c>
      <c r="P199" s="220"/>
      <c r="Q199" s="221"/>
      <c r="R199" s="217" t="s">
        <v>530</v>
      </c>
      <c r="S199" s="220"/>
      <c r="T199" s="221"/>
      <c r="U199" s="414" t="s">
        <v>528</v>
      </c>
      <c r="V199" s="255"/>
      <c r="W199" s="415"/>
      <c r="X199" s="160" t="s">
        <v>9</v>
      </c>
      <c r="Y199" s="519" t="s">
        <v>223</v>
      </c>
      <c r="Z199" s="521" t="s">
        <v>4</v>
      </c>
    </row>
    <row r="200" spans="2:28" ht="12.75" customHeight="1" x14ac:dyDescent="0.3">
      <c r="B200" s="163"/>
      <c r="C200" s="169"/>
      <c r="D200" s="157"/>
      <c r="E200" s="157"/>
      <c r="F200" s="131" t="s">
        <v>33</v>
      </c>
      <c r="G200" s="131" t="s">
        <v>34</v>
      </c>
      <c r="H200" s="132" t="s">
        <v>35</v>
      </c>
      <c r="I200" s="131" t="s">
        <v>33</v>
      </c>
      <c r="J200" s="131" t="s">
        <v>34</v>
      </c>
      <c r="K200" s="132" t="s">
        <v>35</v>
      </c>
      <c r="L200" s="131" t="s">
        <v>33</v>
      </c>
      <c r="M200" s="131" t="s">
        <v>34</v>
      </c>
      <c r="N200" s="132" t="s">
        <v>35</v>
      </c>
      <c r="O200" s="131" t="s">
        <v>33</v>
      </c>
      <c r="P200" s="131" t="s">
        <v>34</v>
      </c>
      <c r="Q200" s="132" t="s">
        <v>35</v>
      </c>
      <c r="R200" s="131" t="s">
        <v>33</v>
      </c>
      <c r="S200" s="131" t="s">
        <v>34</v>
      </c>
      <c r="T200" s="132" t="s">
        <v>35</v>
      </c>
      <c r="U200" s="131" t="s">
        <v>33</v>
      </c>
      <c r="V200" s="131" t="s">
        <v>34</v>
      </c>
      <c r="W200" s="132" t="s">
        <v>35</v>
      </c>
      <c r="X200" s="157"/>
      <c r="Y200" s="520"/>
      <c r="Z200" s="522"/>
    </row>
    <row r="201" spans="2:28" ht="12.75" customHeight="1" x14ac:dyDescent="0.3">
      <c r="B201" s="133">
        <v>1</v>
      </c>
      <c r="C201" s="142" t="s">
        <v>639</v>
      </c>
      <c r="D201" s="227">
        <v>7</v>
      </c>
      <c r="E201" s="227"/>
      <c r="F201" s="488">
        <f>IFERROR(VLOOKUP(C201,'01_RS ALCARRIA'!$D$50:$M$55,10,FALSE),"")</f>
        <v>25</v>
      </c>
      <c r="G201" s="488">
        <f>IFERROR(VLOOKUP(C201,'01_RS ALCARRIA'!$D$50:$O$55,12,FALSE),"")</f>
        <v>10</v>
      </c>
      <c r="H201" s="138">
        <f>(F201+G201)*2</f>
        <v>70</v>
      </c>
      <c r="I201" s="135"/>
      <c r="J201" s="135"/>
      <c r="K201" s="138"/>
      <c r="L201" s="135"/>
      <c r="M201" s="135"/>
      <c r="N201" s="138"/>
      <c r="O201" s="135"/>
      <c r="P201" s="135"/>
      <c r="Q201" s="138"/>
      <c r="R201" s="135"/>
      <c r="S201" s="135"/>
      <c r="T201" s="138"/>
      <c r="U201" s="135"/>
      <c r="V201" s="135"/>
      <c r="W201" s="138"/>
      <c r="X201" s="139">
        <f>H201+K201+N201+Q201+T201+W201</f>
        <v>70</v>
      </c>
      <c r="Y201" s="140" t="str">
        <f t="shared" ref="Y201:Y206" si="36">IF(Z201&gt;=3,"Sí","No")</f>
        <v>No</v>
      </c>
      <c r="Z201" s="141">
        <f>COUNTA(H201,K201,N201,Q201,T201,W201)</f>
        <v>1</v>
      </c>
    </row>
    <row r="202" spans="2:28" ht="13" x14ac:dyDescent="0.3">
      <c r="B202" s="133">
        <v>2</v>
      </c>
      <c r="C202" s="142" t="s">
        <v>655</v>
      </c>
      <c r="D202" s="227">
        <v>7</v>
      </c>
      <c r="E202" s="227"/>
      <c r="F202" s="488">
        <f>IFERROR(VLOOKUP(C202,'01_RS ALCARRIA'!$D$50:$M$55,10,FALSE),"")</f>
        <v>20</v>
      </c>
      <c r="G202" s="488">
        <f>IFERROR(VLOOKUP(C202,'01_RS ALCARRIA'!$D$50:$O$55,12,FALSE),"")</f>
        <v>8</v>
      </c>
      <c r="H202" s="138">
        <f t="shared" ref="H202:H205" si="37">(F202+G202)*2</f>
        <v>56</v>
      </c>
      <c r="I202" s="135"/>
      <c r="J202" s="135"/>
      <c r="K202" s="138"/>
      <c r="L202" s="135"/>
      <c r="M202" s="135"/>
      <c r="N202" s="138"/>
      <c r="O202" s="135"/>
      <c r="P202" s="135"/>
      <c r="Q202" s="138"/>
      <c r="R202" s="135"/>
      <c r="S202" s="135"/>
      <c r="T202" s="138"/>
      <c r="U202" s="135"/>
      <c r="V202" s="135"/>
      <c r="W202" s="138"/>
      <c r="X202" s="139">
        <f t="shared" ref="X202:X206" si="38">H202+K202+N202+Q202+T202+W202</f>
        <v>56</v>
      </c>
      <c r="Y202" s="140" t="str">
        <f t="shared" si="36"/>
        <v>No</v>
      </c>
      <c r="Z202" s="141">
        <f t="shared" ref="Z202:Z206" si="39">COUNTA(H202,K202,N202,Q202,T202,W202)</f>
        <v>1</v>
      </c>
    </row>
    <row r="203" spans="2:28" ht="13" x14ac:dyDescent="0.3">
      <c r="B203" s="133">
        <v>3</v>
      </c>
      <c r="C203" s="134" t="s">
        <v>264</v>
      </c>
      <c r="D203" s="227">
        <v>7</v>
      </c>
      <c r="E203" s="227"/>
      <c r="F203" s="488">
        <f>IFERROR(VLOOKUP(C203,'01_RS ALCARRIA'!$D$50:$M$55,10,FALSE),"")</f>
        <v>17</v>
      </c>
      <c r="G203" s="488">
        <f>IFERROR(VLOOKUP(C203,'01_RS ALCARRIA'!$D$50:$O$55,12,FALSE),"")</f>
        <v>6</v>
      </c>
      <c r="H203" s="138">
        <f t="shared" si="37"/>
        <v>46</v>
      </c>
      <c r="I203" s="135"/>
      <c r="J203" s="135"/>
      <c r="K203" s="138"/>
      <c r="L203" s="135"/>
      <c r="M203" s="135"/>
      <c r="N203" s="138"/>
      <c r="O203" s="135"/>
      <c r="P203" s="135"/>
      <c r="Q203" s="138"/>
      <c r="R203" s="135"/>
      <c r="S203" s="135"/>
      <c r="T203" s="138"/>
      <c r="U203" s="135"/>
      <c r="V203" s="135"/>
      <c r="W203" s="138"/>
      <c r="X203" s="139">
        <f t="shared" si="38"/>
        <v>46</v>
      </c>
      <c r="Y203" s="140" t="str">
        <f t="shared" si="36"/>
        <v>No</v>
      </c>
      <c r="Z203" s="141">
        <f t="shared" si="39"/>
        <v>1</v>
      </c>
    </row>
    <row r="204" spans="2:28" ht="13" x14ac:dyDescent="0.3">
      <c r="B204" s="133">
        <v>4</v>
      </c>
      <c r="C204" s="134" t="s">
        <v>642</v>
      </c>
      <c r="D204" s="227">
        <v>7</v>
      </c>
      <c r="E204" s="227"/>
      <c r="F204" s="488">
        <f>IFERROR(VLOOKUP(C204,'01_RS ALCARRIA'!$D$50:$M$55,10,FALSE),"")</f>
        <v>15</v>
      </c>
      <c r="G204" s="488">
        <f>IFERROR(VLOOKUP(C204,'01_RS ALCARRIA'!$D$50:$O$55,12,FALSE),"")</f>
        <v>5</v>
      </c>
      <c r="H204" s="138">
        <f t="shared" si="37"/>
        <v>40</v>
      </c>
      <c r="I204" s="135"/>
      <c r="J204" s="135"/>
      <c r="K204" s="138"/>
      <c r="L204" s="135"/>
      <c r="M204" s="135"/>
      <c r="N204" s="138"/>
      <c r="O204" s="135"/>
      <c r="P204" s="135"/>
      <c r="Q204" s="138"/>
      <c r="R204" s="135"/>
      <c r="S204" s="135"/>
      <c r="T204" s="138"/>
      <c r="U204" s="135"/>
      <c r="V204" s="135"/>
      <c r="W204" s="138"/>
      <c r="X204" s="139">
        <f t="shared" si="38"/>
        <v>40</v>
      </c>
      <c r="Y204" s="140" t="str">
        <f t="shared" si="36"/>
        <v>No</v>
      </c>
      <c r="Z204" s="141">
        <f t="shared" si="39"/>
        <v>1</v>
      </c>
    </row>
    <row r="205" spans="2:28" ht="13" x14ac:dyDescent="0.3">
      <c r="B205" s="133">
        <v>5</v>
      </c>
      <c r="C205" s="134" t="s">
        <v>643</v>
      </c>
      <c r="D205" s="227">
        <v>7</v>
      </c>
      <c r="E205" s="227"/>
      <c r="F205" s="488">
        <f>IFERROR(VLOOKUP(C205,'01_RS ALCARRIA'!$D$50:$M$55,10,FALSE),"")</f>
        <v>12</v>
      </c>
      <c r="G205" s="488">
        <f>IFERROR(VLOOKUP(C205,'01_RS ALCARRIA'!$D$50:$O$55,12,FALSE),"")</f>
        <v>3</v>
      </c>
      <c r="H205" s="138">
        <f t="shared" si="37"/>
        <v>30</v>
      </c>
      <c r="I205" s="135"/>
      <c r="J205" s="135"/>
      <c r="K205" s="138"/>
      <c r="L205" s="135"/>
      <c r="M205" s="135"/>
      <c r="N205" s="138"/>
      <c r="O205" s="135"/>
      <c r="P205" s="135"/>
      <c r="Q205" s="138"/>
      <c r="R205" s="135"/>
      <c r="S205" s="135"/>
      <c r="T205" s="138"/>
      <c r="U205" s="135"/>
      <c r="V205" s="135"/>
      <c r="W205" s="138"/>
      <c r="X205" s="139">
        <f t="shared" si="38"/>
        <v>30</v>
      </c>
      <c r="Y205" s="140" t="str">
        <f t="shared" si="36"/>
        <v>No</v>
      </c>
      <c r="Z205" s="141">
        <f t="shared" si="39"/>
        <v>1</v>
      </c>
    </row>
    <row r="206" spans="2:28" ht="13" x14ac:dyDescent="0.3">
      <c r="B206" s="133" t="s">
        <v>658</v>
      </c>
      <c r="C206" s="134" t="s">
        <v>644</v>
      </c>
      <c r="D206" s="227">
        <v>7</v>
      </c>
      <c r="E206" s="227"/>
      <c r="F206" s="135">
        <v>0</v>
      </c>
      <c r="G206" s="135">
        <v>0</v>
      </c>
      <c r="H206" s="138">
        <f t="shared" ref="H206" si="40">(F206+G206)</f>
        <v>0</v>
      </c>
      <c r="I206" s="135"/>
      <c r="J206" s="135"/>
      <c r="K206" s="138"/>
      <c r="L206" s="135"/>
      <c r="M206" s="135"/>
      <c r="N206" s="138"/>
      <c r="O206" s="135"/>
      <c r="P206" s="135"/>
      <c r="Q206" s="138"/>
      <c r="R206" s="135"/>
      <c r="S206" s="135"/>
      <c r="T206" s="138"/>
      <c r="U206" s="135"/>
      <c r="V206" s="135"/>
      <c r="W206" s="138"/>
      <c r="X206" s="139">
        <f t="shared" si="38"/>
        <v>0</v>
      </c>
      <c r="Y206" s="140" t="str">
        <f t="shared" si="36"/>
        <v>No</v>
      </c>
      <c r="Z206" s="141">
        <f t="shared" si="39"/>
        <v>1</v>
      </c>
    </row>
    <row r="207" spans="2:28" ht="13" x14ac:dyDescent="0.3">
      <c r="B207" s="152"/>
      <c r="C207" s="242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127"/>
    </row>
    <row r="208" spans="2:28" ht="12.75" customHeight="1" x14ac:dyDescent="0.3">
      <c r="B208" s="1"/>
      <c r="C208" s="235"/>
      <c r="D208" s="284"/>
      <c r="E208" s="285" t="s">
        <v>534</v>
      </c>
      <c r="F208" s="147"/>
      <c r="G208" s="147"/>
      <c r="H208" s="147"/>
      <c r="I208" s="147"/>
      <c r="J208" s="147"/>
      <c r="K208" s="147"/>
      <c r="L208" s="147"/>
      <c r="M208" s="147"/>
      <c r="N208" s="147"/>
      <c r="O208" s="147"/>
      <c r="P208" s="147"/>
      <c r="Q208" s="147"/>
      <c r="R208" s="147"/>
      <c r="S208" s="147"/>
      <c r="T208" s="147"/>
      <c r="U208" s="147"/>
      <c r="V208" s="147"/>
      <c r="W208" s="147"/>
      <c r="X208" s="147"/>
      <c r="Y208" s="147"/>
      <c r="Z208" s="147"/>
      <c r="AA208" s="148"/>
      <c r="AB208" s="262"/>
    </row>
    <row r="209" spans="2:28" ht="13" x14ac:dyDescent="0.3">
      <c r="B209" s="4"/>
      <c r="C209" s="4"/>
      <c r="D209" s="236" t="s">
        <v>510</v>
      </c>
      <c r="E209" s="237" t="s">
        <v>273</v>
      </c>
      <c r="F209" s="238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149"/>
      <c r="Z209" s="127"/>
    </row>
    <row r="210" spans="2:28" ht="39" customHeight="1" x14ac:dyDescent="0.55000000000000004">
      <c r="B210" s="164" t="s">
        <v>518</v>
      </c>
      <c r="C210" s="165"/>
      <c r="D210" s="165"/>
      <c r="E210" s="165"/>
      <c r="F210" s="165"/>
      <c r="G210" s="165"/>
      <c r="H210" s="165"/>
      <c r="I210" s="165"/>
      <c r="J210" s="165"/>
      <c r="K210" s="165"/>
      <c r="L210" s="165"/>
      <c r="M210" s="165"/>
      <c r="N210" s="165"/>
      <c r="O210" s="165"/>
      <c r="P210" s="165"/>
      <c r="Q210" s="165"/>
      <c r="R210" s="165"/>
      <c r="S210" s="165"/>
      <c r="T210" s="165"/>
      <c r="U210" s="165"/>
      <c r="V210" s="165"/>
      <c r="W210" s="165"/>
      <c r="X210" s="165"/>
    </row>
    <row r="211" spans="2:28" ht="37.5" customHeight="1" x14ac:dyDescent="0.3">
      <c r="B211" s="166" t="s">
        <v>338</v>
      </c>
      <c r="C211" s="167"/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30"/>
      <c r="Z211" s="30"/>
    </row>
    <row r="212" spans="2:28" ht="12.75" customHeight="1" x14ac:dyDescent="0.3">
      <c r="B212" s="162"/>
      <c r="C212" s="168"/>
      <c r="D212" s="161"/>
      <c r="E212" s="161"/>
      <c r="F212" s="222" t="s">
        <v>220</v>
      </c>
      <c r="G212" s="223"/>
      <c r="H212" s="224"/>
      <c r="I212" s="222" t="s">
        <v>663</v>
      </c>
      <c r="J212" s="225"/>
      <c r="K212" s="226"/>
      <c r="L212" s="222" t="s">
        <v>532</v>
      </c>
      <c r="M212" s="225"/>
      <c r="N212" s="226"/>
      <c r="O212" s="222" t="s">
        <v>526</v>
      </c>
      <c r="P212" s="225"/>
      <c r="Q212" s="226"/>
      <c r="R212" s="222" t="s">
        <v>287</v>
      </c>
      <c r="S212" s="225"/>
      <c r="T212" s="226"/>
      <c r="U212" s="413" t="s">
        <v>527</v>
      </c>
      <c r="V212" s="226"/>
      <c r="W212" s="226"/>
      <c r="X212" s="161" t="s">
        <v>213</v>
      </c>
      <c r="Y212" s="30"/>
      <c r="Z212" s="30"/>
    </row>
    <row r="213" spans="2:28" ht="12.75" customHeight="1" x14ac:dyDescent="0.3">
      <c r="B213" s="159" t="s">
        <v>0</v>
      </c>
      <c r="C213" s="170" t="s">
        <v>166</v>
      </c>
      <c r="D213" s="160" t="s">
        <v>2</v>
      </c>
      <c r="E213" s="160" t="s">
        <v>3</v>
      </c>
      <c r="F213" s="217" t="s">
        <v>523</v>
      </c>
      <c r="G213" s="218"/>
      <c r="H213" s="219"/>
      <c r="I213" s="217" t="s">
        <v>525</v>
      </c>
      <c r="J213" s="220"/>
      <c r="K213" s="221"/>
      <c r="L213" s="217" t="s">
        <v>664</v>
      </c>
      <c r="M213" s="220"/>
      <c r="N213" s="221"/>
      <c r="O213" s="217" t="s">
        <v>529</v>
      </c>
      <c r="P213" s="220"/>
      <c r="Q213" s="221"/>
      <c r="R213" s="217" t="s">
        <v>530</v>
      </c>
      <c r="S213" s="220"/>
      <c r="T213" s="221"/>
      <c r="U213" s="414" t="s">
        <v>528</v>
      </c>
      <c r="V213" s="255"/>
      <c r="W213" s="415"/>
      <c r="X213" s="160" t="s">
        <v>9</v>
      </c>
      <c r="Y213" s="519" t="s">
        <v>223</v>
      </c>
      <c r="Z213" s="521" t="s">
        <v>4</v>
      </c>
    </row>
    <row r="214" spans="2:28" ht="12.75" customHeight="1" x14ac:dyDescent="0.3">
      <c r="B214" s="163"/>
      <c r="C214" s="169"/>
      <c r="D214" s="157"/>
      <c r="E214" s="157"/>
      <c r="F214" s="131" t="s">
        <v>33</v>
      </c>
      <c r="G214" s="131" t="s">
        <v>34</v>
      </c>
      <c r="H214" s="132" t="s">
        <v>35</v>
      </c>
      <c r="I214" s="131" t="s">
        <v>33</v>
      </c>
      <c r="J214" s="131" t="s">
        <v>34</v>
      </c>
      <c r="K214" s="132" t="s">
        <v>35</v>
      </c>
      <c r="L214" s="131" t="s">
        <v>33</v>
      </c>
      <c r="M214" s="131" t="s">
        <v>34</v>
      </c>
      <c r="N214" s="132" t="s">
        <v>35</v>
      </c>
      <c r="O214" s="131" t="s">
        <v>33</v>
      </c>
      <c r="P214" s="131" t="s">
        <v>34</v>
      </c>
      <c r="Q214" s="132" t="s">
        <v>35</v>
      </c>
      <c r="R214" s="131" t="s">
        <v>33</v>
      </c>
      <c r="S214" s="131" t="s">
        <v>34</v>
      </c>
      <c r="T214" s="132" t="s">
        <v>35</v>
      </c>
      <c r="U214" s="131" t="s">
        <v>33</v>
      </c>
      <c r="V214" s="131" t="s">
        <v>34</v>
      </c>
      <c r="W214" s="132" t="s">
        <v>35</v>
      </c>
      <c r="X214" s="157"/>
      <c r="Y214" s="520"/>
      <c r="Z214" s="522"/>
    </row>
    <row r="215" spans="2:28" ht="12.75" customHeight="1" x14ac:dyDescent="0.3">
      <c r="B215" s="133">
        <v>1</v>
      </c>
      <c r="C215" s="134" t="s">
        <v>358</v>
      </c>
      <c r="D215" s="227">
        <v>7</v>
      </c>
      <c r="E215" s="227"/>
      <c r="F215" s="135">
        <f>IFERROR(VLOOKUP(C215,'01_RS ALCARRIA'!$F$50:$R$55,13,FALSE),"")</f>
        <v>25</v>
      </c>
      <c r="G215" s="135">
        <f>IFERROR(VLOOKUP(C215,'01_RS ALCARRIA'!$F$50:$T$55,15,FALSE),"")</f>
        <v>10</v>
      </c>
      <c r="H215" s="138">
        <f>(F215+G215)*2</f>
        <v>70</v>
      </c>
      <c r="I215" s="135"/>
      <c r="J215" s="135"/>
      <c r="K215" s="138"/>
      <c r="L215" s="135"/>
      <c r="M215" s="135"/>
      <c r="N215" s="138"/>
      <c r="O215" s="135"/>
      <c r="P215" s="135"/>
      <c r="Q215" s="138"/>
      <c r="R215" s="135"/>
      <c r="S215" s="135"/>
      <c r="T215" s="138"/>
      <c r="U215" s="135"/>
      <c r="V215" s="135"/>
      <c r="W215" s="138"/>
      <c r="X215" s="139">
        <f>H215+K215+N215+Q215+T215+W215</f>
        <v>70</v>
      </c>
      <c r="Y215" s="140" t="str">
        <f t="shared" ref="Y215:Y220" si="41">IF(Z215&gt;=3,"Sí","No")</f>
        <v>No</v>
      </c>
      <c r="Z215" s="141">
        <f>COUNTA(H215,K215,N215,Q215,T215,W215)</f>
        <v>1</v>
      </c>
    </row>
    <row r="216" spans="2:28" ht="13" x14ac:dyDescent="0.3">
      <c r="B216" s="133">
        <v>2</v>
      </c>
      <c r="C216" s="134" t="s">
        <v>360</v>
      </c>
      <c r="D216" s="227">
        <v>7</v>
      </c>
      <c r="E216" s="227"/>
      <c r="F216" s="135">
        <f>IFERROR(VLOOKUP(C216,'01_RS ALCARRIA'!$F$50:$R$55,13,FALSE),"")</f>
        <v>20</v>
      </c>
      <c r="G216" s="135">
        <f>IFERROR(VLOOKUP(C216,'01_RS ALCARRIA'!$F$50:$T$55,15,FALSE),"")</f>
        <v>8</v>
      </c>
      <c r="H216" s="138">
        <f t="shared" ref="H216:H219" si="42">(F216+G216)*2</f>
        <v>56</v>
      </c>
      <c r="I216" s="135"/>
      <c r="J216" s="135"/>
      <c r="K216" s="138"/>
      <c r="L216" s="135"/>
      <c r="M216" s="135"/>
      <c r="N216" s="138"/>
      <c r="O216" s="135"/>
      <c r="P216" s="135"/>
      <c r="Q216" s="138"/>
      <c r="R216" s="135"/>
      <c r="S216" s="135"/>
      <c r="T216" s="138"/>
      <c r="U216" s="135"/>
      <c r="V216" s="135"/>
      <c r="W216" s="138"/>
      <c r="X216" s="139">
        <f t="shared" ref="X216:X220" si="43">H216+K216+N216+Q216+T216+W216</f>
        <v>56</v>
      </c>
      <c r="Y216" s="140" t="str">
        <f t="shared" si="41"/>
        <v>No</v>
      </c>
      <c r="Z216" s="141">
        <f t="shared" ref="Z216:Z220" si="44">COUNTA(H216,K216,N216,Q216,T216,W216)</f>
        <v>1</v>
      </c>
    </row>
    <row r="217" spans="2:28" ht="13" x14ac:dyDescent="0.3">
      <c r="B217" s="133">
        <v>3</v>
      </c>
      <c r="C217" s="134" t="s">
        <v>641</v>
      </c>
      <c r="D217" s="227">
        <v>7</v>
      </c>
      <c r="E217" s="227"/>
      <c r="F217" s="135">
        <f>IFERROR(VLOOKUP(C217,'01_RS ALCARRIA'!$F$50:$R$55,13,FALSE),"")</f>
        <v>17</v>
      </c>
      <c r="G217" s="135">
        <f>IFERROR(VLOOKUP(C217,'01_RS ALCARRIA'!$F$50:$T$55,15,FALSE),"")</f>
        <v>6</v>
      </c>
      <c r="H217" s="138">
        <f t="shared" si="42"/>
        <v>46</v>
      </c>
      <c r="I217" s="135"/>
      <c r="J217" s="135"/>
      <c r="K217" s="138"/>
      <c r="L217" s="135"/>
      <c r="M217" s="135"/>
      <c r="N217" s="138"/>
      <c r="O217" s="135"/>
      <c r="P217" s="135"/>
      <c r="Q217" s="138"/>
      <c r="R217" s="135"/>
      <c r="S217" s="135"/>
      <c r="T217" s="138"/>
      <c r="U217" s="135"/>
      <c r="V217" s="135"/>
      <c r="W217" s="138"/>
      <c r="X217" s="139">
        <f t="shared" si="43"/>
        <v>46</v>
      </c>
      <c r="Y217" s="140" t="str">
        <f t="shared" si="41"/>
        <v>No</v>
      </c>
      <c r="Z217" s="141">
        <f t="shared" si="44"/>
        <v>1</v>
      </c>
    </row>
    <row r="218" spans="2:28" ht="13" x14ac:dyDescent="0.3">
      <c r="B218" s="133">
        <v>4</v>
      </c>
      <c r="C218" s="134" t="s">
        <v>426</v>
      </c>
      <c r="D218" s="227">
        <v>7</v>
      </c>
      <c r="E218" s="227"/>
      <c r="F218" s="135">
        <f>IFERROR(VLOOKUP(C218,'01_RS ALCARRIA'!$F$50:$R$55,13,FALSE),"")</f>
        <v>15</v>
      </c>
      <c r="G218" s="135">
        <f>IFERROR(VLOOKUP(C218,'01_RS ALCARRIA'!$F$50:$T$55,15,FALSE),"")</f>
        <v>5</v>
      </c>
      <c r="H218" s="138">
        <f t="shared" si="42"/>
        <v>40</v>
      </c>
      <c r="I218" s="135"/>
      <c r="J218" s="135"/>
      <c r="K218" s="138"/>
      <c r="L218" s="135"/>
      <c r="M218" s="135"/>
      <c r="N218" s="138"/>
      <c r="O218" s="135"/>
      <c r="P218" s="135"/>
      <c r="Q218" s="138"/>
      <c r="R218" s="135"/>
      <c r="S218" s="135"/>
      <c r="T218" s="138"/>
      <c r="U218" s="135"/>
      <c r="V218" s="135"/>
      <c r="W218" s="138"/>
      <c r="X218" s="139">
        <f t="shared" si="43"/>
        <v>40</v>
      </c>
      <c r="Y218" s="140" t="str">
        <f t="shared" si="41"/>
        <v>No</v>
      </c>
      <c r="Z218" s="141">
        <f t="shared" si="44"/>
        <v>1</v>
      </c>
    </row>
    <row r="219" spans="2:28" ht="13" x14ac:dyDescent="0.3">
      <c r="B219" s="133">
        <v>5</v>
      </c>
      <c r="C219" s="134" t="s">
        <v>398</v>
      </c>
      <c r="D219" s="227">
        <v>7</v>
      </c>
      <c r="E219" s="227"/>
      <c r="F219" s="135">
        <f>IFERROR(VLOOKUP(C219,'01_RS ALCARRIA'!$F$50:$R$55,13,FALSE),"")</f>
        <v>12</v>
      </c>
      <c r="G219" s="135">
        <f>IFERROR(VLOOKUP(C219,'01_RS ALCARRIA'!$F$50:$T$55,15,FALSE),"")</f>
        <v>3</v>
      </c>
      <c r="H219" s="138">
        <f t="shared" si="42"/>
        <v>30</v>
      </c>
      <c r="I219" s="135"/>
      <c r="J219" s="135"/>
      <c r="K219" s="138"/>
      <c r="L219" s="135"/>
      <c r="M219" s="135"/>
      <c r="N219" s="138"/>
      <c r="O219" s="135"/>
      <c r="P219" s="135"/>
      <c r="Q219" s="138"/>
      <c r="R219" s="135"/>
      <c r="S219" s="135"/>
      <c r="T219" s="138"/>
      <c r="U219" s="135"/>
      <c r="V219" s="135"/>
      <c r="W219" s="138"/>
      <c r="X219" s="139">
        <f t="shared" si="43"/>
        <v>30</v>
      </c>
      <c r="Y219" s="140" t="str">
        <f t="shared" si="41"/>
        <v>No</v>
      </c>
      <c r="Z219" s="141">
        <f t="shared" si="44"/>
        <v>1</v>
      </c>
    </row>
    <row r="220" spans="2:28" ht="13" x14ac:dyDescent="0.3">
      <c r="B220" s="133" t="s">
        <v>658</v>
      </c>
      <c r="C220" s="134" t="s">
        <v>645</v>
      </c>
      <c r="D220" s="227">
        <v>7</v>
      </c>
      <c r="E220" s="227"/>
      <c r="F220" s="135">
        <v>0</v>
      </c>
      <c r="G220" s="135">
        <v>0</v>
      </c>
      <c r="H220" s="138">
        <f t="shared" ref="H220" si="45">(F220+G220)</f>
        <v>0</v>
      </c>
      <c r="I220" s="135"/>
      <c r="J220" s="135"/>
      <c r="K220" s="138"/>
      <c r="L220" s="135"/>
      <c r="M220" s="135"/>
      <c r="N220" s="138"/>
      <c r="O220" s="135"/>
      <c r="P220" s="135"/>
      <c r="Q220" s="138"/>
      <c r="R220" s="135"/>
      <c r="S220" s="135"/>
      <c r="T220" s="138"/>
      <c r="U220" s="135"/>
      <c r="V220" s="135"/>
      <c r="W220" s="138"/>
      <c r="X220" s="139">
        <f t="shared" si="43"/>
        <v>0</v>
      </c>
      <c r="Y220" s="140" t="str">
        <f t="shared" si="41"/>
        <v>No</v>
      </c>
      <c r="Z220" s="141">
        <f t="shared" si="44"/>
        <v>1</v>
      </c>
    </row>
    <row r="221" spans="2:28" ht="13" x14ac:dyDescent="0.3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149"/>
      <c r="Z221" s="127"/>
    </row>
    <row r="222" spans="2:28" ht="12.75" customHeight="1" x14ac:dyDescent="0.3">
      <c r="B222" s="1"/>
      <c r="C222" s="235"/>
      <c r="D222" s="284"/>
      <c r="E222" s="285" t="s">
        <v>534</v>
      </c>
      <c r="F222" s="147"/>
      <c r="G222" s="147"/>
      <c r="H222" s="147"/>
      <c r="I222" s="147"/>
      <c r="J222" s="147"/>
      <c r="K222" s="147"/>
      <c r="L222" s="147"/>
      <c r="M222" s="147"/>
      <c r="N222" s="147"/>
      <c r="O222" s="147"/>
      <c r="P222" s="147"/>
      <c r="Q222" s="147"/>
      <c r="R222" s="147"/>
      <c r="S222" s="147"/>
      <c r="T222" s="147"/>
      <c r="U222" s="147"/>
      <c r="V222" s="147"/>
      <c r="W222" s="147"/>
      <c r="X222" s="147"/>
      <c r="Y222" s="147"/>
      <c r="Z222" s="147"/>
      <c r="AA222" s="148"/>
      <c r="AB222" s="262"/>
    </row>
    <row r="223" spans="2:28" ht="13" x14ac:dyDescent="0.3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149"/>
      <c r="Z223" s="127"/>
    </row>
    <row r="224" spans="2:28" ht="39" customHeight="1" x14ac:dyDescent="0.55000000000000004">
      <c r="B224" s="164" t="s">
        <v>519</v>
      </c>
      <c r="C224" s="165"/>
      <c r="D224" s="165"/>
      <c r="E224" s="165"/>
      <c r="F224" s="165"/>
      <c r="G224" s="165"/>
      <c r="H224" s="165"/>
      <c r="I224" s="165"/>
      <c r="J224" s="165"/>
      <c r="K224" s="165"/>
      <c r="L224" s="165"/>
      <c r="M224" s="165"/>
      <c r="N224" s="165"/>
      <c r="O224" s="165"/>
      <c r="P224" s="165"/>
      <c r="Q224" s="165"/>
      <c r="R224" s="165"/>
      <c r="S224" s="165"/>
      <c r="T224" s="165"/>
      <c r="U224" s="165"/>
      <c r="V224" s="165"/>
      <c r="W224" s="165"/>
      <c r="X224" s="165"/>
    </row>
    <row r="225" spans="2:28" ht="37.5" customHeight="1" x14ac:dyDescent="0.3">
      <c r="B225" s="166" t="s">
        <v>224</v>
      </c>
      <c r="C225" s="167"/>
      <c r="D225" s="167"/>
      <c r="E225" s="167"/>
      <c r="F225" s="167"/>
      <c r="G225" s="167"/>
      <c r="H225" s="167"/>
      <c r="I225" s="167"/>
      <c r="J225" s="167"/>
      <c r="K225" s="167"/>
      <c r="L225" s="167"/>
      <c r="M225" s="167"/>
      <c r="N225" s="167"/>
      <c r="O225" s="167"/>
      <c r="P225" s="167"/>
      <c r="Q225" s="167"/>
      <c r="R225" s="167"/>
      <c r="S225" s="167"/>
      <c r="T225" s="167"/>
      <c r="U225" s="167"/>
      <c r="V225" s="167"/>
      <c r="W225" s="167"/>
      <c r="X225" s="167"/>
      <c r="Y225" s="30"/>
      <c r="Z225" s="30"/>
    </row>
    <row r="226" spans="2:28" ht="12.75" customHeight="1" x14ac:dyDescent="0.3">
      <c r="B226" s="162"/>
      <c r="C226" s="168"/>
      <c r="D226" s="161"/>
      <c r="E226" s="161"/>
      <c r="F226" s="222" t="s">
        <v>220</v>
      </c>
      <c r="G226" s="223"/>
      <c r="H226" s="224"/>
      <c r="I226" s="222" t="s">
        <v>663</v>
      </c>
      <c r="J226" s="225"/>
      <c r="K226" s="226"/>
      <c r="L226" s="222" t="s">
        <v>532</v>
      </c>
      <c r="M226" s="225"/>
      <c r="N226" s="226"/>
      <c r="O226" s="222" t="s">
        <v>526</v>
      </c>
      <c r="P226" s="225"/>
      <c r="Q226" s="226"/>
      <c r="R226" s="222" t="s">
        <v>287</v>
      </c>
      <c r="S226" s="225"/>
      <c r="T226" s="226"/>
      <c r="U226" s="413" t="s">
        <v>527</v>
      </c>
      <c r="V226" s="226"/>
      <c r="W226" s="226"/>
      <c r="X226" s="161" t="s">
        <v>213</v>
      </c>
      <c r="Y226" s="30"/>
      <c r="Z226" s="30"/>
    </row>
    <row r="227" spans="2:28" ht="12.75" customHeight="1" x14ac:dyDescent="0.3">
      <c r="B227" s="159" t="s">
        <v>0</v>
      </c>
      <c r="C227" s="170" t="s">
        <v>1</v>
      </c>
      <c r="D227" s="160" t="s">
        <v>2</v>
      </c>
      <c r="E227" s="160" t="s">
        <v>3</v>
      </c>
      <c r="F227" s="217" t="s">
        <v>523</v>
      </c>
      <c r="G227" s="218"/>
      <c r="H227" s="219"/>
      <c r="I227" s="217" t="s">
        <v>525</v>
      </c>
      <c r="J227" s="220"/>
      <c r="K227" s="221"/>
      <c r="L227" s="217" t="s">
        <v>664</v>
      </c>
      <c r="M227" s="220"/>
      <c r="N227" s="221"/>
      <c r="O227" s="217" t="s">
        <v>529</v>
      </c>
      <c r="P227" s="220"/>
      <c r="Q227" s="221"/>
      <c r="R227" s="217" t="s">
        <v>530</v>
      </c>
      <c r="S227" s="220"/>
      <c r="T227" s="221"/>
      <c r="U227" s="414" t="s">
        <v>528</v>
      </c>
      <c r="V227" s="255"/>
      <c r="W227" s="415"/>
      <c r="X227" s="160" t="s">
        <v>9</v>
      </c>
      <c r="Y227" s="519" t="s">
        <v>223</v>
      </c>
      <c r="Z227" s="521" t="s">
        <v>4</v>
      </c>
    </row>
    <row r="228" spans="2:28" ht="12.75" customHeight="1" x14ac:dyDescent="0.3">
      <c r="B228" s="163"/>
      <c r="C228" s="169"/>
      <c r="D228" s="157"/>
      <c r="E228" s="157"/>
      <c r="F228" s="131" t="s">
        <v>33</v>
      </c>
      <c r="G228" s="131" t="s">
        <v>34</v>
      </c>
      <c r="H228" s="132" t="s">
        <v>35</v>
      </c>
      <c r="I228" s="131" t="s">
        <v>33</v>
      </c>
      <c r="J228" s="131" t="s">
        <v>34</v>
      </c>
      <c r="K228" s="132" t="s">
        <v>35</v>
      </c>
      <c r="L228" s="131" t="s">
        <v>33</v>
      </c>
      <c r="M228" s="131" t="s">
        <v>34</v>
      </c>
      <c r="N228" s="132" t="s">
        <v>35</v>
      </c>
      <c r="O228" s="131" t="s">
        <v>33</v>
      </c>
      <c r="P228" s="131" t="s">
        <v>34</v>
      </c>
      <c r="Q228" s="132" t="s">
        <v>35</v>
      </c>
      <c r="R228" s="131" t="s">
        <v>33</v>
      </c>
      <c r="S228" s="131" t="s">
        <v>34</v>
      </c>
      <c r="T228" s="132" t="s">
        <v>35</v>
      </c>
      <c r="U228" s="131" t="s">
        <v>33</v>
      </c>
      <c r="V228" s="131" t="s">
        <v>34</v>
      </c>
      <c r="W228" s="132" t="s">
        <v>35</v>
      </c>
      <c r="X228" s="157"/>
      <c r="Y228" s="520"/>
      <c r="Z228" s="522"/>
    </row>
    <row r="229" spans="2:28" ht="12.75" customHeight="1" x14ac:dyDescent="0.3">
      <c r="B229" s="133">
        <v>1</v>
      </c>
      <c r="C229" s="142" t="s">
        <v>647</v>
      </c>
      <c r="D229" s="227">
        <v>8</v>
      </c>
      <c r="E229" s="227"/>
      <c r="F229" s="135">
        <f>IFERROR(VLOOKUP(C229,'01_RS ALCARRIA'!$D$58:$M$61,10,FALSE),"")</f>
        <v>25</v>
      </c>
      <c r="G229" s="284">
        <f>IFERROR(VLOOKUP(C229,'01_RS ALCARRIA'!$D$58:$O$61,12,FALSE),"")/2</f>
        <v>5</v>
      </c>
      <c r="H229" s="138">
        <f>(F229+G229)*2</f>
        <v>60</v>
      </c>
      <c r="I229" s="135"/>
      <c r="J229" s="135"/>
      <c r="K229" s="138"/>
      <c r="L229" s="135"/>
      <c r="M229" s="135"/>
      <c r="N229" s="138"/>
      <c r="O229" s="135"/>
      <c r="P229" s="135"/>
      <c r="Q229" s="138"/>
      <c r="R229" s="135"/>
      <c r="S229" s="135"/>
      <c r="T229" s="138"/>
      <c r="U229" s="135"/>
      <c r="V229" s="135"/>
      <c r="W229" s="138"/>
      <c r="X229" s="139">
        <f>H229+K229+N229+Q229+T229+W229</f>
        <v>60</v>
      </c>
      <c r="Y229" s="140" t="str">
        <f>IF(Z229&gt;=3,"Sí","No")</f>
        <v>No</v>
      </c>
      <c r="Z229" s="141">
        <f>COUNTA(H229,K229,N229,Q229,T229,W229)</f>
        <v>1</v>
      </c>
    </row>
    <row r="230" spans="2:28" ht="13" x14ac:dyDescent="0.3">
      <c r="B230" s="133" t="s">
        <v>658</v>
      </c>
      <c r="C230" s="142" t="s">
        <v>649</v>
      </c>
      <c r="D230" s="227">
        <v>8</v>
      </c>
      <c r="E230" s="227"/>
      <c r="F230" s="135">
        <v>0</v>
      </c>
      <c r="G230" s="135">
        <v>0</v>
      </c>
      <c r="H230" s="138">
        <f t="shared" ref="H230" si="46">(F230+G230)</f>
        <v>0</v>
      </c>
      <c r="I230" s="135"/>
      <c r="J230" s="135"/>
      <c r="K230" s="138"/>
      <c r="L230" s="135"/>
      <c r="M230" s="135"/>
      <c r="N230" s="138"/>
      <c r="O230" s="135"/>
      <c r="P230" s="135"/>
      <c r="Q230" s="138"/>
      <c r="R230" s="135"/>
      <c r="S230" s="135"/>
      <c r="T230" s="138"/>
      <c r="U230" s="135"/>
      <c r="V230" s="135"/>
      <c r="W230" s="138"/>
      <c r="X230" s="139">
        <f t="shared" ref="X230" si="47">H230+K230+N230+Q230+T230+W230</f>
        <v>0</v>
      </c>
      <c r="Y230" s="140" t="str">
        <f>IF(Z230&gt;=3,"Sí","No")</f>
        <v>No</v>
      </c>
      <c r="Z230" s="141">
        <f t="shared" ref="Z230" si="48">COUNTA(H230,K230,N230,Q230,T230,W230)</f>
        <v>1</v>
      </c>
    </row>
    <row r="231" spans="2:28" ht="13" x14ac:dyDescent="0.3"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149"/>
      <c r="Z231" s="127"/>
    </row>
    <row r="232" spans="2:28" ht="12.75" customHeight="1" x14ac:dyDescent="0.3">
      <c r="B232" s="1"/>
      <c r="C232" s="235"/>
      <c r="D232" s="284"/>
      <c r="E232" s="285" t="s">
        <v>534</v>
      </c>
      <c r="F232" s="147"/>
      <c r="G232" s="147"/>
      <c r="H232" s="147"/>
      <c r="I232" s="147"/>
      <c r="J232" s="147"/>
      <c r="K232" s="147"/>
      <c r="L232" s="147"/>
      <c r="M232" s="147"/>
      <c r="N232" s="147"/>
      <c r="O232" s="147"/>
      <c r="P232" s="147"/>
      <c r="Q232" s="147"/>
      <c r="R232" s="147"/>
      <c r="S232" s="147"/>
      <c r="T232" s="147"/>
      <c r="U232" s="147"/>
      <c r="V232" s="147"/>
      <c r="W232" s="147"/>
      <c r="X232" s="147"/>
      <c r="Y232" s="147"/>
      <c r="Z232" s="147"/>
      <c r="AA232" s="148"/>
      <c r="AB232" s="262"/>
    </row>
    <row r="233" spans="2:28" ht="13" x14ac:dyDescent="0.3"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149"/>
      <c r="Z233" s="127"/>
    </row>
    <row r="234" spans="2:28" ht="39" customHeight="1" x14ac:dyDescent="0.55000000000000004">
      <c r="B234" s="164" t="s">
        <v>519</v>
      </c>
      <c r="C234" s="165"/>
      <c r="D234" s="165"/>
      <c r="E234" s="165"/>
      <c r="F234" s="165"/>
      <c r="G234" s="165"/>
      <c r="H234" s="165"/>
      <c r="I234" s="165"/>
      <c r="J234" s="165"/>
      <c r="K234" s="165"/>
      <c r="L234" s="165"/>
      <c r="M234" s="165"/>
      <c r="N234" s="165"/>
      <c r="O234" s="165"/>
      <c r="P234" s="165"/>
      <c r="Q234" s="165"/>
      <c r="R234" s="165"/>
      <c r="S234" s="165"/>
      <c r="T234" s="165"/>
      <c r="U234" s="165"/>
      <c r="V234" s="165"/>
      <c r="W234" s="165"/>
      <c r="X234" s="165"/>
    </row>
    <row r="235" spans="2:28" ht="37.5" customHeight="1" x14ac:dyDescent="0.3">
      <c r="B235" s="166" t="s">
        <v>338</v>
      </c>
      <c r="C235" s="167"/>
      <c r="D235" s="167"/>
      <c r="E235" s="167"/>
      <c r="F235" s="167"/>
      <c r="G235" s="167"/>
      <c r="H235" s="167"/>
      <c r="I235" s="167"/>
      <c r="J235" s="167"/>
      <c r="K235" s="167"/>
      <c r="L235" s="167"/>
      <c r="M235" s="167"/>
      <c r="N235" s="167"/>
      <c r="O235" s="167"/>
      <c r="P235" s="167"/>
      <c r="Q235" s="167"/>
      <c r="R235" s="167"/>
      <c r="S235" s="167"/>
      <c r="T235" s="167"/>
      <c r="U235" s="167"/>
      <c r="V235" s="167"/>
      <c r="W235" s="167"/>
      <c r="X235" s="167"/>
      <c r="Y235" s="30"/>
      <c r="Z235" s="30"/>
    </row>
    <row r="236" spans="2:28" ht="12.75" customHeight="1" x14ac:dyDescent="0.3">
      <c r="B236" s="162"/>
      <c r="C236" s="168"/>
      <c r="D236" s="161"/>
      <c r="E236" s="161"/>
      <c r="F236" s="222" t="s">
        <v>220</v>
      </c>
      <c r="G236" s="223"/>
      <c r="H236" s="224"/>
      <c r="I236" s="222" t="s">
        <v>663</v>
      </c>
      <c r="J236" s="225"/>
      <c r="K236" s="226"/>
      <c r="L236" s="222" t="s">
        <v>532</v>
      </c>
      <c r="M236" s="225"/>
      <c r="N236" s="226"/>
      <c r="O236" s="222" t="s">
        <v>526</v>
      </c>
      <c r="P236" s="225"/>
      <c r="Q236" s="226"/>
      <c r="R236" s="222" t="s">
        <v>287</v>
      </c>
      <c r="S236" s="225"/>
      <c r="T236" s="226"/>
      <c r="U236" s="413" t="s">
        <v>527</v>
      </c>
      <c r="V236" s="226"/>
      <c r="W236" s="226"/>
      <c r="X236" s="161" t="s">
        <v>213</v>
      </c>
      <c r="Y236" s="30"/>
      <c r="Z236" s="30"/>
    </row>
    <row r="237" spans="2:28" ht="12.75" customHeight="1" x14ac:dyDescent="0.3">
      <c r="B237" s="159" t="s">
        <v>0</v>
      </c>
      <c r="C237" s="170" t="s">
        <v>166</v>
      </c>
      <c r="D237" s="160" t="s">
        <v>2</v>
      </c>
      <c r="E237" s="160" t="s">
        <v>3</v>
      </c>
      <c r="F237" s="217" t="s">
        <v>523</v>
      </c>
      <c r="G237" s="218"/>
      <c r="H237" s="219"/>
      <c r="I237" s="217" t="s">
        <v>525</v>
      </c>
      <c r="J237" s="220"/>
      <c r="K237" s="221"/>
      <c r="L237" s="217" t="s">
        <v>664</v>
      </c>
      <c r="M237" s="220"/>
      <c r="N237" s="221"/>
      <c r="O237" s="217" t="s">
        <v>529</v>
      </c>
      <c r="P237" s="220"/>
      <c r="Q237" s="221"/>
      <c r="R237" s="217" t="s">
        <v>530</v>
      </c>
      <c r="S237" s="220"/>
      <c r="T237" s="221"/>
      <c r="U237" s="414" t="s">
        <v>528</v>
      </c>
      <c r="V237" s="255"/>
      <c r="W237" s="415"/>
      <c r="X237" s="160" t="s">
        <v>9</v>
      </c>
      <c r="Y237" s="519" t="s">
        <v>223</v>
      </c>
      <c r="Z237" s="521" t="s">
        <v>4</v>
      </c>
    </row>
    <row r="238" spans="2:28" ht="12.75" customHeight="1" x14ac:dyDescent="0.3">
      <c r="B238" s="163"/>
      <c r="C238" s="169"/>
      <c r="D238" s="157"/>
      <c r="E238" s="157"/>
      <c r="F238" s="131" t="s">
        <v>33</v>
      </c>
      <c r="G238" s="131" t="s">
        <v>34</v>
      </c>
      <c r="H238" s="132" t="s">
        <v>35</v>
      </c>
      <c r="I238" s="131" t="s">
        <v>33</v>
      </c>
      <c r="J238" s="131" t="s">
        <v>34</v>
      </c>
      <c r="K238" s="132" t="s">
        <v>35</v>
      </c>
      <c r="L238" s="131" t="s">
        <v>33</v>
      </c>
      <c r="M238" s="131" t="s">
        <v>34</v>
      </c>
      <c r="N238" s="132" t="s">
        <v>35</v>
      </c>
      <c r="O238" s="131" t="s">
        <v>33</v>
      </c>
      <c r="P238" s="131" t="s">
        <v>34</v>
      </c>
      <c r="Q238" s="132" t="s">
        <v>35</v>
      </c>
      <c r="R238" s="131" t="s">
        <v>33</v>
      </c>
      <c r="S238" s="131" t="s">
        <v>34</v>
      </c>
      <c r="T238" s="132" t="s">
        <v>35</v>
      </c>
      <c r="U238" s="131" t="s">
        <v>33</v>
      </c>
      <c r="V238" s="131" t="s">
        <v>34</v>
      </c>
      <c r="W238" s="132" t="s">
        <v>35</v>
      </c>
      <c r="X238" s="157"/>
      <c r="Y238" s="520"/>
      <c r="Z238" s="522"/>
    </row>
    <row r="239" spans="2:28" ht="12.75" customHeight="1" x14ac:dyDescent="0.3">
      <c r="B239" s="133">
        <v>1</v>
      </c>
      <c r="C239" s="142" t="s">
        <v>648</v>
      </c>
      <c r="D239" s="227">
        <v>8</v>
      </c>
      <c r="E239" s="227"/>
      <c r="F239" s="135">
        <f>IFERROR(VLOOKUP(C239,'01_RS ALCARRIA'!$F$58:$R$61,13,FALSE),"")</f>
        <v>25</v>
      </c>
      <c r="G239" s="284">
        <f>IFERROR(VLOOKUP(C239,'01_RS ALCARRIA'!$F$58:$T$61,15,FALSE),"")/2</f>
        <v>5</v>
      </c>
      <c r="H239" s="138">
        <f>(F239+G239)*2</f>
        <v>60</v>
      </c>
      <c r="I239" s="135"/>
      <c r="J239" s="135"/>
      <c r="K239" s="138"/>
      <c r="L239" s="135"/>
      <c r="M239" s="135"/>
      <c r="N239" s="138"/>
      <c r="O239" s="135"/>
      <c r="P239" s="135"/>
      <c r="Q239" s="138"/>
      <c r="R239" s="135"/>
      <c r="S239" s="135"/>
      <c r="T239" s="138"/>
      <c r="U239" s="135"/>
      <c r="V239" s="135"/>
      <c r="W239" s="138"/>
      <c r="X239" s="139">
        <f>H239+K239+N239+Q239+T239+W239</f>
        <v>60</v>
      </c>
      <c r="Y239" s="140" t="str">
        <f>IF(Z239&gt;=3,"Sí","No")</f>
        <v>No</v>
      </c>
      <c r="Z239" s="141">
        <f>COUNTA(H239,K239,N239,Q239,T239,W239)</f>
        <v>1</v>
      </c>
    </row>
    <row r="240" spans="2:28" ht="13" x14ac:dyDescent="0.3">
      <c r="B240" s="133" t="s">
        <v>658</v>
      </c>
      <c r="C240" s="142" t="s">
        <v>650</v>
      </c>
      <c r="D240" s="227">
        <v>8</v>
      </c>
      <c r="E240" s="227"/>
      <c r="F240" s="135">
        <v>0</v>
      </c>
      <c r="G240" s="135">
        <v>0</v>
      </c>
      <c r="H240" s="138">
        <f t="shared" ref="H240" si="49">(F240+G240)</f>
        <v>0</v>
      </c>
      <c r="I240" s="135"/>
      <c r="J240" s="135"/>
      <c r="K240" s="138"/>
      <c r="L240" s="135"/>
      <c r="M240" s="135"/>
      <c r="N240" s="138"/>
      <c r="O240" s="135"/>
      <c r="P240" s="135"/>
      <c r="Q240" s="138"/>
      <c r="R240" s="135"/>
      <c r="S240" s="135"/>
      <c r="T240" s="138"/>
      <c r="U240" s="135"/>
      <c r="V240" s="135"/>
      <c r="W240" s="138"/>
      <c r="X240" s="139">
        <f t="shared" ref="X240" si="50">H240+K240+N240+Q240+T240+W240</f>
        <v>0</v>
      </c>
      <c r="Y240" s="140" t="str">
        <f>IF(Z240&gt;=3,"Sí","No")</f>
        <v>No</v>
      </c>
      <c r="Z240" s="141">
        <f t="shared" ref="Z240" si="51">COUNTA(H240,K240,N240,Q240,T240,W240)</f>
        <v>1</v>
      </c>
    </row>
    <row r="241" spans="2:39" ht="13" x14ac:dyDescent="0.3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149"/>
      <c r="Z241" s="127"/>
    </row>
    <row r="242" spans="2:39" ht="12.75" customHeight="1" x14ac:dyDescent="0.3">
      <c r="B242" s="1"/>
      <c r="C242" s="235"/>
      <c r="D242" s="284"/>
      <c r="E242" s="285" t="s">
        <v>534</v>
      </c>
      <c r="F242" s="147"/>
      <c r="G242" s="147"/>
      <c r="H242" s="147"/>
      <c r="I242" s="147"/>
      <c r="J242" s="147"/>
      <c r="K242" s="147"/>
      <c r="L242" s="147"/>
      <c r="M242" s="147"/>
      <c r="N242" s="147"/>
      <c r="O242" s="147"/>
      <c r="P242" s="147"/>
      <c r="Q242" s="147"/>
      <c r="R242" s="147"/>
      <c r="S242" s="147"/>
      <c r="T242" s="147"/>
      <c r="U242" s="147"/>
      <c r="V242" s="147"/>
      <c r="W242" s="147"/>
      <c r="X242" s="147"/>
      <c r="Y242" s="147"/>
      <c r="Z242" s="147"/>
      <c r="AA242" s="148"/>
      <c r="AB242" s="262"/>
    </row>
    <row r="243" spans="2:39" ht="13" x14ac:dyDescent="0.3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149"/>
      <c r="Z243" s="127"/>
    </row>
    <row r="244" spans="2:39" ht="39" customHeight="1" x14ac:dyDescent="0.55000000000000004">
      <c r="B244" s="164" t="s">
        <v>519</v>
      </c>
      <c r="C244" s="165"/>
      <c r="D244" s="165"/>
      <c r="E244" s="165"/>
      <c r="F244" s="165"/>
      <c r="G244" s="165"/>
      <c r="H244" s="165"/>
      <c r="I244" s="165"/>
      <c r="J244" s="165"/>
      <c r="K244" s="165"/>
      <c r="L244" s="165"/>
      <c r="M244" s="165"/>
      <c r="N244" s="165"/>
      <c r="O244" s="165"/>
      <c r="P244" s="165"/>
      <c r="Q244" s="165"/>
      <c r="R244" s="165"/>
      <c r="S244" s="165"/>
      <c r="T244" s="165"/>
      <c r="U244" s="165"/>
      <c r="V244" s="165"/>
      <c r="W244" s="165"/>
      <c r="X244" s="165"/>
    </row>
    <row r="245" spans="2:39" ht="37.5" customHeight="1" x14ac:dyDescent="0.3">
      <c r="B245" s="166" t="s">
        <v>344</v>
      </c>
      <c r="C245" s="167"/>
      <c r="D245" s="167"/>
      <c r="E245" s="167"/>
      <c r="F245" s="167"/>
      <c r="G245" s="167"/>
      <c r="H245" s="167"/>
      <c r="I245" s="167"/>
      <c r="J245" s="167"/>
      <c r="K245" s="167"/>
      <c r="L245" s="167"/>
      <c r="M245" s="167"/>
      <c r="N245" s="167"/>
      <c r="O245" s="167"/>
      <c r="P245" s="167"/>
      <c r="Q245" s="167"/>
      <c r="R245" s="167"/>
      <c r="S245" s="167"/>
      <c r="T245" s="167"/>
      <c r="U245" s="167"/>
      <c r="V245" s="167"/>
      <c r="W245" s="167"/>
      <c r="X245" s="167"/>
      <c r="Y245" s="30"/>
      <c r="Z245" s="30"/>
    </row>
    <row r="246" spans="2:39" ht="12.75" customHeight="1" x14ac:dyDescent="0.3">
      <c r="B246" s="162"/>
      <c r="C246" s="168"/>
      <c r="D246" s="161"/>
      <c r="E246" s="161"/>
      <c r="F246" s="222" t="s">
        <v>220</v>
      </c>
      <c r="G246" s="223"/>
      <c r="H246" s="224"/>
      <c r="I246" s="222" t="s">
        <v>663</v>
      </c>
      <c r="J246" s="225"/>
      <c r="K246" s="226"/>
      <c r="L246" s="222" t="s">
        <v>532</v>
      </c>
      <c r="M246" s="225"/>
      <c r="N246" s="226"/>
      <c r="O246" s="222" t="s">
        <v>526</v>
      </c>
      <c r="P246" s="225"/>
      <c r="Q246" s="226"/>
      <c r="R246" s="222" t="s">
        <v>287</v>
      </c>
      <c r="S246" s="225"/>
      <c r="T246" s="226"/>
      <c r="U246" s="413" t="s">
        <v>527</v>
      </c>
      <c r="V246" s="226"/>
      <c r="W246" s="226"/>
      <c r="X246" s="161" t="s">
        <v>213</v>
      </c>
      <c r="Y246" s="30"/>
      <c r="Z246" s="30"/>
    </row>
    <row r="247" spans="2:39" ht="12.75" customHeight="1" x14ac:dyDescent="0.3">
      <c r="B247" s="159" t="s">
        <v>0</v>
      </c>
      <c r="C247" s="170" t="s">
        <v>345</v>
      </c>
      <c r="D247" s="160" t="s">
        <v>2</v>
      </c>
      <c r="E247" s="160" t="s">
        <v>3</v>
      </c>
      <c r="F247" s="217" t="s">
        <v>523</v>
      </c>
      <c r="G247" s="218"/>
      <c r="H247" s="219"/>
      <c r="I247" s="217" t="s">
        <v>525</v>
      </c>
      <c r="J247" s="220"/>
      <c r="K247" s="221"/>
      <c r="L247" s="217" t="s">
        <v>664</v>
      </c>
      <c r="M247" s="220"/>
      <c r="N247" s="221"/>
      <c r="O247" s="217" t="s">
        <v>529</v>
      </c>
      <c r="P247" s="220"/>
      <c r="Q247" s="221"/>
      <c r="R247" s="217" t="s">
        <v>530</v>
      </c>
      <c r="S247" s="220"/>
      <c r="T247" s="221"/>
      <c r="U247" s="414" t="s">
        <v>528</v>
      </c>
      <c r="V247" s="255"/>
      <c r="W247" s="415"/>
      <c r="X247" s="160" t="s">
        <v>9</v>
      </c>
      <c r="Y247" s="519" t="s">
        <v>223</v>
      </c>
      <c r="Z247" s="521" t="s">
        <v>4</v>
      </c>
    </row>
    <row r="248" spans="2:39" ht="12.75" customHeight="1" x14ac:dyDescent="0.3">
      <c r="B248" s="163"/>
      <c r="C248" s="169"/>
      <c r="D248" s="157"/>
      <c r="E248" s="157"/>
      <c r="F248" s="131" t="s">
        <v>33</v>
      </c>
      <c r="G248" s="131" t="s">
        <v>34</v>
      </c>
      <c r="H248" s="132" t="s">
        <v>35</v>
      </c>
      <c r="I248" s="131" t="s">
        <v>33</v>
      </c>
      <c r="J248" s="131" t="s">
        <v>34</v>
      </c>
      <c r="K248" s="132" t="s">
        <v>35</v>
      </c>
      <c r="L248" s="131" t="s">
        <v>33</v>
      </c>
      <c r="M248" s="131" t="s">
        <v>34</v>
      </c>
      <c r="N248" s="132" t="s">
        <v>35</v>
      </c>
      <c r="O248" s="131" t="s">
        <v>33</v>
      </c>
      <c r="P248" s="131" t="s">
        <v>34</v>
      </c>
      <c r="Q248" s="132" t="s">
        <v>35</v>
      </c>
      <c r="R248" s="131" t="s">
        <v>33</v>
      </c>
      <c r="S248" s="131" t="s">
        <v>34</v>
      </c>
      <c r="T248" s="132" t="s">
        <v>35</v>
      </c>
      <c r="U248" s="131" t="s">
        <v>33</v>
      </c>
      <c r="V248" s="131" t="s">
        <v>34</v>
      </c>
      <c r="W248" s="132" t="s">
        <v>35</v>
      </c>
      <c r="X248" s="157"/>
      <c r="Y248" s="520"/>
      <c r="Z248" s="522"/>
    </row>
    <row r="249" spans="2:39" ht="12.75" customHeight="1" x14ac:dyDescent="0.3">
      <c r="B249" s="133">
        <v>1</v>
      </c>
      <c r="C249" s="142" t="s">
        <v>651</v>
      </c>
      <c r="D249" s="227">
        <v>8</v>
      </c>
      <c r="E249" s="227"/>
      <c r="F249" s="135">
        <f>IFERROR(VLOOKUP(C249,'01_RS ALCARRIA'!$D$65:$K$67,8, FALSE), " ")</f>
        <v>25</v>
      </c>
      <c r="G249" s="284">
        <f>IFERROR(VLOOKUP(C249,'01_RS ALCARRIA'!$D$65:$M$67,10, FALSE), " ")/2</f>
        <v>5</v>
      </c>
      <c r="H249" s="138">
        <f>(F249+G249)*2</f>
        <v>60</v>
      </c>
      <c r="I249" s="135"/>
      <c r="J249" s="135"/>
      <c r="K249" s="138"/>
      <c r="L249" s="135"/>
      <c r="M249" s="135"/>
      <c r="N249" s="138"/>
      <c r="O249" s="135"/>
      <c r="P249" s="135"/>
      <c r="Q249" s="138"/>
      <c r="R249" s="135"/>
      <c r="S249" s="135"/>
      <c r="T249" s="138"/>
      <c r="U249" s="135"/>
      <c r="V249" s="135"/>
      <c r="W249" s="138"/>
      <c r="X249" s="139">
        <f>H249+K249+N249+Q249+T249+W249</f>
        <v>60</v>
      </c>
      <c r="Y249" s="140" t="str">
        <f>IF(Z249&gt;=3,"Sí","No")</f>
        <v>No</v>
      </c>
      <c r="Z249" s="141">
        <f>COUNTA(H249,K249,N249,Q249,T249,W249)</f>
        <v>1</v>
      </c>
    </row>
    <row r="250" spans="2:39" ht="13" x14ac:dyDescent="0.3">
      <c r="B250" s="133" t="s">
        <v>658</v>
      </c>
      <c r="C250" s="142" t="s">
        <v>652</v>
      </c>
      <c r="D250" s="227">
        <v>8</v>
      </c>
      <c r="E250" s="227"/>
      <c r="F250" s="135">
        <v>0</v>
      </c>
      <c r="G250" s="135">
        <v>0</v>
      </c>
      <c r="H250" s="138">
        <f t="shared" ref="H250" si="52">(F250+G250)</f>
        <v>0</v>
      </c>
      <c r="I250" s="135"/>
      <c r="J250" s="135"/>
      <c r="K250" s="138"/>
      <c r="L250" s="135"/>
      <c r="M250" s="135"/>
      <c r="N250" s="138"/>
      <c r="O250" s="135"/>
      <c r="P250" s="135"/>
      <c r="Q250" s="138"/>
      <c r="R250" s="135"/>
      <c r="S250" s="135"/>
      <c r="T250" s="138"/>
      <c r="U250" s="135"/>
      <c r="V250" s="135"/>
      <c r="W250" s="138"/>
      <c r="X250" s="139">
        <f t="shared" ref="X250" si="53">H250+K250+N250+Q250+T250+W250</f>
        <v>0</v>
      </c>
      <c r="Y250" s="140" t="str">
        <f>IF(Z250&gt;=3,"Sí","No")</f>
        <v>No</v>
      </c>
      <c r="Z250" s="141">
        <f t="shared" ref="Z250" si="54">COUNTA(H250,K250,N250,Q250,T250,W250)</f>
        <v>1</v>
      </c>
    </row>
    <row r="251" spans="2:39" ht="13" x14ac:dyDescent="0.3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149"/>
      <c r="Z251" s="127"/>
    </row>
    <row r="252" spans="2:39" ht="12.75" customHeight="1" x14ac:dyDescent="0.3">
      <c r="B252" s="1"/>
      <c r="C252" s="235"/>
      <c r="D252" s="284"/>
      <c r="E252" s="285" t="s">
        <v>534</v>
      </c>
      <c r="F252" s="147"/>
      <c r="G252" s="147"/>
      <c r="H252" s="147"/>
      <c r="I252" s="147"/>
      <c r="J252" s="147"/>
      <c r="K252" s="147"/>
      <c r="L252" s="147"/>
      <c r="M252" s="147"/>
      <c r="N252" s="147"/>
      <c r="O252" s="147"/>
      <c r="P252" s="147"/>
      <c r="Q252" s="147"/>
      <c r="R252" s="147"/>
      <c r="S252" s="147"/>
      <c r="T252" s="147"/>
      <c r="U252" s="147"/>
      <c r="V252" s="147"/>
      <c r="W252" s="147"/>
      <c r="X252" s="147"/>
      <c r="Y252" s="147"/>
      <c r="Z252" s="147"/>
      <c r="AA252" s="148"/>
      <c r="AB252" s="262"/>
    </row>
    <row r="253" spans="2:39" s="261" customFormat="1" ht="13" x14ac:dyDescent="0.3">
      <c r="B253" s="4"/>
      <c r="C253" s="236"/>
      <c r="D253" s="155"/>
      <c r="E253" s="155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149"/>
      <c r="Z253" s="127"/>
      <c r="AA253" s="130"/>
      <c r="AC253" s="130"/>
      <c r="AD253" s="130"/>
      <c r="AE253" s="130"/>
      <c r="AF253" s="130"/>
      <c r="AG253" s="130"/>
      <c r="AH253" s="130"/>
      <c r="AI253" s="130"/>
      <c r="AJ253" s="130"/>
      <c r="AK253" s="130"/>
      <c r="AL253" s="130"/>
      <c r="AM253" s="130"/>
    </row>
    <row r="254" spans="2:39" s="261" customFormat="1" ht="13" x14ac:dyDescent="0.3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149"/>
      <c r="Z254" s="127"/>
      <c r="AA254" s="130"/>
      <c r="AC254" s="130"/>
      <c r="AD254" s="130"/>
      <c r="AE254" s="130"/>
      <c r="AF254" s="130"/>
      <c r="AG254" s="130"/>
      <c r="AH254" s="130"/>
      <c r="AI254" s="130"/>
      <c r="AJ254" s="130"/>
      <c r="AK254" s="130"/>
      <c r="AL254" s="130"/>
      <c r="AM254" s="130"/>
    </row>
    <row r="255" spans="2:39" s="261" customFormat="1" ht="38" customHeight="1" x14ac:dyDescent="0.55000000000000004">
      <c r="B255" s="527" t="s">
        <v>520</v>
      </c>
      <c r="C255" s="527"/>
      <c r="D255" s="527"/>
      <c r="E255" s="527"/>
      <c r="F255" s="527"/>
      <c r="G255" s="527"/>
      <c r="H255" s="527"/>
      <c r="I255" s="527"/>
      <c r="J255" s="527"/>
      <c r="K255" s="527"/>
      <c r="L255" s="527"/>
      <c r="M255" s="527"/>
      <c r="N255" s="527"/>
      <c r="O255" s="527"/>
      <c r="P255" s="527"/>
      <c r="Q255" s="527"/>
      <c r="R255" s="527"/>
      <c r="S255" s="527"/>
      <c r="T255" s="527"/>
      <c r="U255" s="527"/>
      <c r="V255" s="527"/>
      <c r="W255" s="4"/>
      <c r="X255" s="4"/>
      <c r="Y255" s="149"/>
      <c r="Z255" s="127"/>
      <c r="AA255" s="130"/>
      <c r="AC255" s="130"/>
      <c r="AD255" s="130"/>
      <c r="AE255" s="130"/>
      <c r="AF255" s="130"/>
      <c r="AG255" s="130"/>
      <c r="AH255" s="130"/>
      <c r="AI255" s="130"/>
      <c r="AJ255" s="130"/>
      <c r="AK255" s="130"/>
      <c r="AL255" s="130"/>
      <c r="AM255" s="130"/>
    </row>
    <row r="256" spans="2:39" s="261" customFormat="1" ht="36.5" customHeight="1" x14ac:dyDescent="0.3">
      <c r="B256" s="523" t="s">
        <v>224</v>
      </c>
      <c r="C256" s="523"/>
      <c r="D256" s="523"/>
      <c r="E256" s="523"/>
      <c r="F256" s="523"/>
      <c r="G256" s="523"/>
      <c r="H256" s="523"/>
      <c r="I256" s="523"/>
      <c r="J256" s="523"/>
      <c r="K256" s="523"/>
      <c r="L256" s="523"/>
      <c r="M256" s="523"/>
      <c r="N256" s="523"/>
      <c r="O256" s="523"/>
      <c r="P256" s="523"/>
      <c r="Q256" s="523"/>
      <c r="R256" s="523"/>
      <c r="S256" s="523"/>
      <c r="T256" s="523"/>
      <c r="U256" s="523"/>
      <c r="V256" s="523"/>
      <c r="W256" s="4"/>
      <c r="X256" s="4"/>
      <c r="Y256" s="149"/>
      <c r="Z256" s="127"/>
      <c r="AA256" s="130"/>
      <c r="AC256" s="130"/>
      <c r="AD256" s="130"/>
      <c r="AE256" s="130"/>
      <c r="AF256" s="130"/>
      <c r="AG256" s="130"/>
      <c r="AH256" s="130"/>
      <c r="AI256" s="130"/>
      <c r="AJ256" s="130"/>
      <c r="AK256" s="130"/>
      <c r="AL256" s="130"/>
      <c r="AM256" s="130"/>
    </row>
    <row r="257" spans="2:39" s="261" customFormat="1" ht="15.5" x14ac:dyDescent="0.3">
      <c r="B257" s="430"/>
      <c r="C257" s="416"/>
      <c r="D257" s="422"/>
      <c r="E257" s="224"/>
      <c r="F257" s="424"/>
      <c r="G257" s="422"/>
      <c r="H257" s="226"/>
      <c r="I257" s="426"/>
      <c r="J257" s="422"/>
      <c r="K257" s="226"/>
      <c r="L257" s="426"/>
      <c r="M257" s="422"/>
      <c r="N257" s="226"/>
      <c r="O257" s="426"/>
      <c r="P257" s="422"/>
      <c r="Q257" s="226"/>
      <c r="R257" s="426"/>
      <c r="S257" s="428" t="s">
        <v>213</v>
      </c>
      <c r="T257" s="422"/>
      <c r="U257" s="426"/>
      <c r="V257" s="428" t="s">
        <v>213</v>
      </c>
      <c r="W257" s="413"/>
      <c r="X257" s="431" t="s">
        <v>213</v>
      </c>
      <c r="Y257" s="149"/>
      <c r="Z257" s="127"/>
      <c r="AA257" s="130"/>
      <c r="AC257" s="130"/>
      <c r="AD257" s="130"/>
      <c r="AE257" s="130"/>
      <c r="AF257" s="130"/>
      <c r="AG257" s="130"/>
      <c r="AH257" s="130"/>
      <c r="AI257" s="130"/>
      <c r="AJ257" s="130"/>
      <c r="AK257" s="130"/>
      <c r="AL257" s="130"/>
      <c r="AM257" s="130"/>
    </row>
    <row r="258" spans="2:39" s="261" customFormat="1" ht="15.5" x14ac:dyDescent="0.3">
      <c r="B258" s="159" t="s">
        <v>0</v>
      </c>
      <c r="C258" s="524" t="s">
        <v>1</v>
      </c>
      <c r="D258" s="525"/>
      <c r="E258" s="526"/>
      <c r="F258" s="421" t="s">
        <v>531</v>
      </c>
      <c r="G258" s="421"/>
      <c r="H258" s="260"/>
      <c r="I258" s="258" t="s">
        <v>524</v>
      </c>
      <c r="J258" s="421"/>
      <c r="K258" s="260"/>
      <c r="L258" s="258" t="s">
        <v>532</v>
      </c>
      <c r="M258" s="421"/>
      <c r="N258" s="260"/>
      <c r="O258" s="258" t="s">
        <v>526</v>
      </c>
      <c r="P258" s="421"/>
      <c r="Q258" s="260"/>
      <c r="R258" s="258" t="s">
        <v>287</v>
      </c>
      <c r="S258" s="421"/>
      <c r="T258" s="259"/>
      <c r="U258" s="258" t="s">
        <v>527</v>
      </c>
      <c r="V258" s="421"/>
      <c r="W258" s="260"/>
      <c r="X258" s="432" t="s">
        <v>9</v>
      </c>
      <c r="Y258" s="149"/>
      <c r="Z258" s="127"/>
      <c r="AA258" s="130"/>
      <c r="AC258" s="130"/>
      <c r="AD258" s="130"/>
      <c r="AE258" s="130"/>
      <c r="AF258" s="130"/>
      <c r="AG258" s="130"/>
      <c r="AH258" s="130"/>
      <c r="AI258" s="130"/>
      <c r="AJ258" s="130"/>
      <c r="AK258" s="130"/>
      <c r="AL258" s="130"/>
      <c r="AM258" s="130"/>
    </row>
    <row r="259" spans="2:39" s="261" customFormat="1" ht="13" x14ac:dyDescent="0.3">
      <c r="B259" s="163"/>
      <c r="C259" s="417"/>
      <c r="D259" s="423"/>
      <c r="E259" s="219"/>
      <c r="F259" s="425"/>
      <c r="G259" s="423"/>
      <c r="H259" s="221"/>
      <c r="I259" s="427"/>
      <c r="J259" s="423"/>
      <c r="K259" s="221"/>
      <c r="L259" s="427"/>
      <c r="M259" s="423"/>
      <c r="N259" s="221"/>
      <c r="O259" s="427"/>
      <c r="P259" s="423"/>
      <c r="Q259" s="221"/>
      <c r="R259" s="427"/>
      <c r="S259" s="429"/>
      <c r="T259" s="423"/>
      <c r="U259" s="433"/>
      <c r="V259" s="434" t="s">
        <v>213</v>
      </c>
      <c r="W259" s="458"/>
      <c r="X259" s="256"/>
      <c r="Y259" s="149"/>
      <c r="Z259" s="127"/>
      <c r="AA259" s="130"/>
      <c r="AC259" s="130"/>
      <c r="AD259" s="130"/>
      <c r="AE259" s="130"/>
      <c r="AF259" s="130"/>
      <c r="AG259" s="130"/>
      <c r="AH259" s="130"/>
      <c r="AI259" s="130"/>
      <c r="AJ259" s="130"/>
      <c r="AK259" s="130"/>
      <c r="AL259" s="130"/>
      <c r="AM259" s="130"/>
    </row>
    <row r="260" spans="2:39" s="261" customFormat="1" ht="13" x14ac:dyDescent="0.3">
      <c r="B260" s="133">
        <v>1</v>
      </c>
      <c r="C260" s="516" t="s">
        <v>332</v>
      </c>
      <c r="D260" s="517"/>
      <c r="E260" s="518"/>
      <c r="F260" s="317"/>
      <c r="G260" s="498">
        <f>8*2</f>
        <v>16</v>
      </c>
      <c r="H260" s="419"/>
      <c r="I260" s="317"/>
      <c r="J260" s="418"/>
      <c r="K260" s="419"/>
      <c r="L260" s="317"/>
      <c r="M260" s="418"/>
      <c r="N260" s="419"/>
      <c r="O260" s="317"/>
      <c r="P260" s="418"/>
      <c r="Q260" s="419"/>
      <c r="R260" s="419"/>
      <c r="S260" s="418"/>
      <c r="T260" s="419"/>
      <c r="U260" s="419"/>
      <c r="V260" s="503"/>
      <c r="W260" s="462"/>
      <c r="X260" s="504">
        <f>G260+J260+M260+P260+S260+V260</f>
        <v>16</v>
      </c>
      <c r="Y260" s="149"/>
      <c r="Z260" s="127"/>
      <c r="AA260" s="130"/>
      <c r="AC260" s="130"/>
      <c r="AD260" s="130"/>
      <c r="AE260" s="130"/>
      <c r="AF260" s="130"/>
      <c r="AG260" s="130"/>
      <c r="AH260" s="130"/>
      <c r="AI260" s="130"/>
      <c r="AJ260" s="130"/>
      <c r="AK260" s="130"/>
      <c r="AL260" s="130"/>
      <c r="AM260" s="130"/>
    </row>
    <row r="261" spans="2:39" s="261" customFormat="1" ht="13" x14ac:dyDescent="0.3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149"/>
      <c r="Z261" s="127"/>
      <c r="AA261" s="130"/>
      <c r="AC261" s="130"/>
      <c r="AD261" s="130"/>
      <c r="AE261" s="130"/>
      <c r="AF261" s="130"/>
      <c r="AG261" s="130"/>
      <c r="AH261" s="130"/>
      <c r="AI261" s="130"/>
      <c r="AJ261" s="130"/>
      <c r="AK261" s="130"/>
      <c r="AL261" s="130"/>
      <c r="AM261" s="130"/>
    </row>
    <row r="262" spans="2:39" s="261" customFormat="1" ht="13" x14ac:dyDescent="0.3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149"/>
      <c r="Z262" s="127"/>
      <c r="AA262" s="130"/>
      <c r="AC262" s="130"/>
      <c r="AD262" s="130"/>
      <c r="AE262" s="130"/>
      <c r="AF262" s="130"/>
      <c r="AG262" s="130"/>
      <c r="AH262" s="130"/>
      <c r="AI262" s="130"/>
      <c r="AJ262" s="130"/>
      <c r="AK262" s="130"/>
      <c r="AL262" s="130"/>
      <c r="AM262" s="130"/>
    </row>
    <row r="263" spans="2:39" s="261" customFormat="1" ht="38" customHeight="1" x14ac:dyDescent="0.55000000000000004">
      <c r="B263" s="527" t="s">
        <v>661</v>
      </c>
      <c r="C263" s="527"/>
      <c r="D263" s="527"/>
      <c r="E263" s="527"/>
      <c r="F263" s="527"/>
      <c r="G263" s="527"/>
      <c r="H263" s="527"/>
      <c r="I263" s="527"/>
      <c r="J263" s="527"/>
      <c r="K263" s="527"/>
      <c r="L263" s="527"/>
      <c r="M263" s="527"/>
      <c r="N263" s="527"/>
      <c r="O263" s="527"/>
      <c r="P263" s="527"/>
      <c r="Q263" s="527"/>
      <c r="R263" s="527"/>
      <c r="S263" s="527"/>
      <c r="T263" s="527"/>
      <c r="U263" s="527"/>
      <c r="V263" s="527"/>
      <c r="W263" s="4"/>
      <c r="X263" s="4"/>
      <c r="Y263" s="149"/>
      <c r="Z263" s="127"/>
      <c r="AA263" s="130"/>
      <c r="AC263" s="130"/>
      <c r="AD263" s="130"/>
      <c r="AE263" s="130"/>
      <c r="AF263" s="130"/>
      <c r="AG263" s="130"/>
      <c r="AH263" s="130"/>
      <c r="AI263" s="130"/>
      <c r="AJ263" s="130"/>
      <c r="AK263" s="130"/>
      <c r="AL263" s="130"/>
      <c r="AM263" s="130"/>
    </row>
    <row r="264" spans="2:39" s="261" customFormat="1" ht="36.5" customHeight="1" x14ac:dyDescent="0.3">
      <c r="B264" s="523" t="s">
        <v>224</v>
      </c>
      <c r="C264" s="523"/>
      <c r="D264" s="523"/>
      <c r="E264" s="523"/>
      <c r="F264" s="523"/>
      <c r="G264" s="523"/>
      <c r="H264" s="523"/>
      <c r="I264" s="523"/>
      <c r="J264" s="523"/>
      <c r="K264" s="523"/>
      <c r="L264" s="523"/>
      <c r="M264" s="523"/>
      <c r="N264" s="523"/>
      <c r="O264" s="523"/>
      <c r="P264" s="523"/>
      <c r="Q264" s="523"/>
      <c r="R264" s="523"/>
      <c r="S264" s="523"/>
      <c r="T264" s="523"/>
      <c r="U264" s="523"/>
      <c r="V264" s="523"/>
      <c r="W264" s="4"/>
      <c r="X264" s="4"/>
      <c r="Y264" s="149"/>
      <c r="Z264" s="127"/>
      <c r="AA264" s="130"/>
      <c r="AC264" s="130"/>
      <c r="AD264" s="130"/>
      <c r="AE264" s="130"/>
      <c r="AF264" s="130"/>
      <c r="AG264" s="130"/>
      <c r="AH264" s="130"/>
      <c r="AI264" s="130"/>
      <c r="AJ264" s="130"/>
      <c r="AK264" s="130"/>
      <c r="AL264" s="130"/>
      <c r="AM264" s="130"/>
    </row>
    <row r="265" spans="2:39" s="261" customFormat="1" ht="15.5" x14ac:dyDescent="0.3">
      <c r="B265" s="430"/>
      <c r="C265" s="416"/>
      <c r="D265" s="422"/>
      <c r="E265" s="224"/>
      <c r="F265" s="424"/>
      <c r="G265" s="422"/>
      <c r="H265" s="226"/>
      <c r="I265" s="426"/>
      <c r="J265" s="422"/>
      <c r="K265" s="226"/>
      <c r="L265" s="426"/>
      <c r="M265" s="422"/>
      <c r="N265" s="226"/>
      <c r="O265" s="426"/>
      <c r="P265" s="422"/>
      <c r="Q265" s="226"/>
      <c r="R265" s="426"/>
      <c r="S265" s="428" t="s">
        <v>213</v>
      </c>
      <c r="T265" s="422"/>
      <c r="U265" s="426"/>
      <c r="V265" s="428" t="s">
        <v>213</v>
      </c>
      <c r="W265" s="413"/>
      <c r="X265" s="431" t="s">
        <v>213</v>
      </c>
      <c r="Y265" s="149"/>
      <c r="Z265" s="127"/>
      <c r="AA265" s="130"/>
      <c r="AC265" s="130"/>
      <c r="AD265" s="130"/>
      <c r="AE265" s="130"/>
      <c r="AF265" s="130"/>
      <c r="AG265" s="130"/>
      <c r="AH265" s="130"/>
      <c r="AI265" s="130"/>
      <c r="AJ265" s="130"/>
      <c r="AK265" s="130"/>
      <c r="AL265" s="130"/>
      <c r="AM265" s="130"/>
    </row>
    <row r="266" spans="2:39" s="261" customFormat="1" ht="15.5" x14ac:dyDescent="0.3">
      <c r="B266" s="159" t="s">
        <v>0</v>
      </c>
      <c r="C266" s="524" t="s">
        <v>1</v>
      </c>
      <c r="D266" s="525"/>
      <c r="E266" s="526"/>
      <c r="F266" s="421" t="s">
        <v>531</v>
      </c>
      <c r="G266" s="421"/>
      <c r="H266" s="260"/>
      <c r="I266" s="258" t="s">
        <v>524</v>
      </c>
      <c r="J266" s="421"/>
      <c r="K266" s="260"/>
      <c r="L266" s="258" t="s">
        <v>532</v>
      </c>
      <c r="M266" s="421"/>
      <c r="N266" s="260"/>
      <c r="O266" s="258" t="s">
        <v>526</v>
      </c>
      <c r="P266" s="421"/>
      <c r="Q266" s="260"/>
      <c r="R266" s="258" t="s">
        <v>287</v>
      </c>
      <c r="S266" s="421"/>
      <c r="T266" s="259"/>
      <c r="U266" s="258" t="s">
        <v>527</v>
      </c>
      <c r="V266" s="421"/>
      <c r="W266" s="260"/>
      <c r="X266" s="432" t="s">
        <v>9</v>
      </c>
      <c r="Y266" s="149"/>
      <c r="Z266" s="127"/>
      <c r="AA266" s="130"/>
      <c r="AC266" s="130"/>
      <c r="AD266" s="130"/>
      <c r="AE266" s="130"/>
      <c r="AF266" s="130"/>
      <c r="AG266" s="130"/>
      <c r="AH266" s="130"/>
      <c r="AI266" s="130"/>
      <c r="AJ266" s="130"/>
      <c r="AK266" s="130"/>
      <c r="AL266" s="130"/>
      <c r="AM266" s="130"/>
    </row>
    <row r="267" spans="2:39" s="261" customFormat="1" ht="13" x14ac:dyDescent="0.3">
      <c r="B267" s="163"/>
      <c r="C267" s="417"/>
      <c r="D267" s="423"/>
      <c r="E267" s="219"/>
      <c r="F267" s="425"/>
      <c r="G267" s="423"/>
      <c r="H267" s="221"/>
      <c r="I267" s="427"/>
      <c r="J267" s="423"/>
      <c r="K267" s="221"/>
      <c r="L267" s="427"/>
      <c r="M267" s="423"/>
      <c r="N267" s="221"/>
      <c r="O267" s="427"/>
      <c r="P267" s="423"/>
      <c r="Q267" s="221"/>
      <c r="R267" s="427"/>
      <c r="S267" s="429"/>
      <c r="T267" s="423"/>
      <c r="U267" s="433"/>
      <c r="V267" s="434" t="s">
        <v>213</v>
      </c>
      <c r="W267" s="458"/>
      <c r="X267" s="256"/>
      <c r="Y267" s="149"/>
      <c r="Z267" s="127"/>
      <c r="AA267" s="130"/>
      <c r="AC267" s="130"/>
      <c r="AD267" s="130"/>
      <c r="AE267" s="130"/>
      <c r="AF267" s="130"/>
      <c r="AG267" s="130"/>
      <c r="AH267" s="130"/>
      <c r="AI267" s="130"/>
      <c r="AJ267" s="130"/>
      <c r="AK267" s="130"/>
      <c r="AL267" s="130"/>
      <c r="AM267" s="130"/>
    </row>
    <row r="268" spans="2:39" s="261" customFormat="1" ht="13" x14ac:dyDescent="0.3">
      <c r="B268" s="133">
        <v>1</v>
      </c>
      <c r="C268" s="516" t="s">
        <v>358</v>
      </c>
      <c r="D268" s="517"/>
      <c r="E268" s="518"/>
      <c r="F268" s="317"/>
      <c r="G268" s="498">
        <f>10*2</f>
        <v>20</v>
      </c>
      <c r="H268" s="419"/>
      <c r="I268" s="317"/>
      <c r="J268" s="418"/>
      <c r="K268" s="419"/>
      <c r="L268" s="317"/>
      <c r="M268" s="418"/>
      <c r="N268" s="419"/>
      <c r="O268" s="317"/>
      <c r="P268" s="418"/>
      <c r="Q268" s="419"/>
      <c r="R268" s="419"/>
      <c r="S268" s="418"/>
      <c r="T268" s="419"/>
      <c r="U268" s="419"/>
      <c r="V268" s="503"/>
      <c r="W268" s="462"/>
      <c r="X268" s="504">
        <f>G268+J268+M268+P268+S268+V268</f>
        <v>20</v>
      </c>
      <c r="Y268" s="149"/>
      <c r="Z268" s="127"/>
      <c r="AA268" s="130"/>
      <c r="AC268" s="130"/>
      <c r="AD268" s="130"/>
      <c r="AE268" s="130"/>
      <c r="AF268" s="130"/>
      <c r="AG268" s="130"/>
      <c r="AH268" s="130"/>
      <c r="AI268" s="130"/>
      <c r="AJ268" s="130"/>
      <c r="AK268" s="130"/>
      <c r="AL268" s="130"/>
      <c r="AM268" s="130"/>
    </row>
    <row r="269" spans="2:39" s="261" customFormat="1" ht="13" x14ac:dyDescent="0.3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149"/>
      <c r="Z269" s="127"/>
      <c r="AA269" s="130"/>
      <c r="AC269" s="130"/>
      <c r="AD269" s="130"/>
      <c r="AE269" s="130"/>
      <c r="AF269" s="130"/>
      <c r="AG269" s="130"/>
      <c r="AH269" s="130"/>
      <c r="AI269" s="130"/>
      <c r="AJ269" s="130"/>
      <c r="AK269" s="130"/>
      <c r="AL269" s="130"/>
      <c r="AM269" s="130"/>
    </row>
    <row r="270" spans="2:39" s="261" customFormat="1" ht="13" x14ac:dyDescent="0.3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149"/>
      <c r="Z270" s="127"/>
      <c r="AA270" s="130"/>
      <c r="AC270" s="130"/>
      <c r="AD270" s="130"/>
      <c r="AE270" s="130"/>
      <c r="AF270" s="130"/>
      <c r="AG270" s="130"/>
      <c r="AH270" s="130"/>
      <c r="AI270" s="130"/>
      <c r="AJ270" s="130"/>
      <c r="AK270" s="130"/>
      <c r="AL270" s="130"/>
      <c r="AM270" s="130"/>
    </row>
    <row r="271" spans="2:39" s="261" customFormat="1" ht="39" customHeight="1" x14ac:dyDescent="0.55000000000000004">
      <c r="B271" s="527" t="s">
        <v>522</v>
      </c>
      <c r="C271" s="527"/>
      <c r="D271" s="527"/>
      <c r="E271" s="527"/>
      <c r="F271" s="527"/>
      <c r="G271" s="527"/>
      <c r="H271" s="527"/>
      <c r="I271" s="527"/>
      <c r="J271" s="527"/>
      <c r="K271" s="527"/>
      <c r="L271" s="527"/>
      <c r="M271" s="527"/>
      <c r="N271" s="527"/>
      <c r="O271" s="527"/>
      <c r="P271" s="527"/>
      <c r="Q271" s="527"/>
      <c r="R271" s="527"/>
      <c r="S271" s="527"/>
      <c r="T271" s="527"/>
      <c r="U271" s="527"/>
      <c r="V271" s="527"/>
      <c r="W271" s="4"/>
      <c r="X271" s="4"/>
      <c r="Y271" s="130"/>
      <c r="Z271" s="130"/>
      <c r="AA271" s="130"/>
      <c r="AC271" s="130"/>
      <c r="AD271" s="130"/>
      <c r="AE271" s="130"/>
      <c r="AF271" s="130"/>
      <c r="AG271" s="130"/>
      <c r="AH271" s="130"/>
      <c r="AI271" s="130"/>
      <c r="AJ271" s="130"/>
      <c r="AK271" s="130"/>
      <c r="AL271" s="130"/>
      <c r="AM271" s="130"/>
    </row>
    <row r="272" spans="2:39" s="261" customFormat="1" ht="37.5" customHeight="1" x14ac:dyDescent="0.3">
      <c r="B272" s="523" t="s">
        <v>338</v>
      </c>
      <c r="C272" s="523"/>
      <c r="D272" s="523"/>
      <c r="E272" s="523"/>
      <c r="F272" s="523"/>
      <c r="G272" s="523"/>
      <c r="H272" s="523"/>
      <c r="I272" s="523"/>
      <c r="J272" s="523"/>
      <c r="K272" s="523"/>
      <c r="L272" s="523"/>
      <c r="M272" s="523"/>
      <c r="N272" s="523"/>
      <c r="O272" s="523"/>
      <c r="P272" s="523"/>
      <c r="Q272" s="523"/>
      <c r="R272" s="523"/>
      <c r="S272" s="523"/>
      <c r="T272" s="523"/>
      <c r="U272" s="523"/>
      <c r="V272" s="523"/>
      <c r="W272" s="4"/>
      <c r="X272" s="4"/>
      <c r="Y272" s="30"/>
      <c r="Z272" s="30"/>
      <c r="AA272" s="130"/>
      <c r="AC272" s="130"/>
      <c r="AD272" s="130"/>
      <c r="AE272" s="130"/>
      <c r="AF272" s="130"/>
      <c r="AG272" s="130"/>
      <c r="AH272" s="130"/>
      <c r="AI272" s="130"/>
      <c r="AJ272" s="130"/>
      <c r="AK272" s="130"/>
      <c r="AL272" s="130"/>
      <c r="AM272" s="130"/>
    </row>
    <row r="273" spans="2:39" s="261" customFormat="1" ht="12.75" customHeight="1" x14ac:dyDescent="0.3">
      <c r="B273" s="430"/>
      <c r="C273" s="416"/>
      <c r="D273" s="422"/>
      <c r="E273" s="224"/>
      <c r="F273" s="424"/>
      <c r="G273" s="422"/>
      <c r="H273" s="226"/>
      <c r="I273" s="426"/>
      <c r="J273" s="422"/>
      <c r="K273" s="226"/>
      <c r="L273" s="426"/>
      <c r="M273" s="422"/>
      <c r="N273" s="226"/>
      <c r="O273" s="426"/>
      <c r="P273" s="422"/>
      <c r="Q273" s="226"/>
      <c r="R273" s="426"/>
      <c r="S273" s="428" t="s">
        <v>213</v>
      </c>
      <c r="T273" s="422"/>
      <c r="U273" s="426"/>
      <c r="V273" s="428" t="s">
        <v>213</v>
      </c>
      <c r="W273" s="413"/>
      <c r="X273" s="431" t="s">
        <v>213</v>
      </c>
      <c r="Y273" s="30"/>
      <c r="Z273" s="30"/>
      <c r="AA273" s="130"/>
      <c r="AC273" s="130"/>
      <c r="AD273" s="130"/>
      <c r="AE273" s="130"/>
      <c r="AF273" s="130"/>
      <c r="AG273" s="130"/>
      <c r="AH273" s="130"/>
      <c r="AI273" s="130"/>
      <c r="AJ273" s="130"/>
      <c r="AK273" s="130"/>
      <c r="AL273" s="130"/>
      <c r="AM273" s="130"/>
    </row>
    <row r="274" spans="2:39" s="261" customFormat="1" ht="12.75" customHeight="1" x14ac:dyDescent="0.3">
      <c r="B274" s="159" t="s">
        <v>0</v>
      </c>
      <c r="C274" s="524" t="s">
        <v>166</v>
      </c>
      <c r="D274" s="525"/>
      <c r="E274" s="526"/>
      <c r="F274" s="421" t="s">
        <v>531</v>
      </c>
      <c r="G274" s="421"/>
      <c r="H274" s="260"/>
      <c r="I274" s="258" t="s">
        <v>524</v>
      </c>
      <c r="J274" s="421"/>
      <c r="K274" s="260"/>
      <c r="L274" s="258" t="s">
        <v>532</v>
      </c>
      <c r="M274" s="421"/>
      <c r="N274" s="260"/>
      <c r="O274" s="258" t="s">
        <v>526</v>
      </c>
      <c r="P274" s="421"/>
      <c r="Q274" s="260"/>
      <c r="R274" s="258" t="s">
        <v>287</v>
      </c>
      <c r="S274" s="421"/>
      <c r="T274" s="259"/>
      <c r="U274" s="258" t="s">
        <v>527</v>
      </c>
      <c r="V274" s="421"/>
      <c r="W274" s="260"/>
      <c r="X274" s="432" t="s">
        <v>9</v>
      </c>
      <c r="Y274" s="519" t="s">
        <v>223</v>
      </c>
      <c r="Z274" s="521" t="s">
        <v>4</v>
      </c>
      <c r="AA274" s="130"/>
      <c r="AC274" s="130"/>
      <c r="AD274" s="130"/>
      <c r="AE274" s="130"/>
      <c r="AF274" s="130"/>
      <c r="AG274" s="130"/>
      <c r="AH274" s="130"/>
      <c r="AI274" s="130"/>
      <c r="AJ274" s="130"/>
      <c r="AK274" s="130"/>
      <c r="AL274" s="130"/>
      <c r="AM274" s="130"/>
    </row>
    <row r="275" spans="2:39" s="261" customFormat="1" ht="12.75" customHeight="1" x14ac:dyDescent="0.3">
      <c r="B275" s="163"/>
      <c r="C275" s="417"/>
      <c r="D275" s="423"/>
      <c r="E275" s="219"/>
      <c r="F275" s="425"/>
      <c r="G275" s="453"/>
      <c r="H275" s="221"/>
      <c r="I275" s="427"/>
      <c r="J275" s="423"/>
      <c r="K275" s="221"/>
      <c r="L275" s="427"/>
      <c r="M275" s="423"/>
      <c r="N275" s="221"/>
      <c r="O275" s="427"/>
      <c r="P275" s="423"/>
      <c r="Q275" s="221"/>
      <c r="R275" s="427"/>
      <c r="S275" s="429"/>
      <c r="T275" s="423"/>
      <c r="U275" s="433"/>
      <c r="V275" s="434" t="s">
        <v>213</v>
      </c>
      <c r="W275" s="435"/>
      <c r="X275" s="256"/>
      <c r="Y275" s="520"/>
      <c r="Z275" s="522"/>
      <c r="AA275" s="130"/>
      <c r="AC275" s="130"/>
      <c r="AD275" s="130"/>
      <c r="AE275" s="130"/>
      <c r="AF275" s="130"/>
      <c r="AG275" s="130"/>
      <c r="AH275" s="130"/>
      <c r="AI275" s="130"/>
      <c r="AJ275" s="130"/>
      <c r="AK275" s="130"/>
      <c r="AL275" s="130"/>
      <c r="AM275" s="130"/>
    </row>
    <row r="276" spans="2:39" s="261" customFormat="1" ht="12.75" customHeight="1" x14ac:dyDescent="0.3">
      <c r="B276" s="133">
        <v>1</v>
      </c>
      <c r="C276" s="516" t="s">
        <v>358</v>
      </c>
      <c r="D276" s="517"/>
      <c r="E276" s="518"/>
      <c r="F276" s="237"/>
      <c r="G276" s="137">
        <f>IFERROR(VLOOKUP(C276,'01_RS ALCARRIA'!$F$6:$U$70,15, FALSE), " ")*2</f>
        <v>20</v>
      </c>
      <c r="H276" s="474"/>
      <c r="I276" s="135"/>
      <c r="J276" s="135"/>
      <c r="K276" s="138"/>
      <c r="L276" s="135"/>
      <c r="M276" s="135"/>
      <c r="N276" s="138"/>
      <c r="O276" s="135"/>
      <c r="P276" s="135"/>
      <c r="Q276" s="138"/>
      <c r="R276" s="135"/>
      <c r="S276" s="135"/>
      <c r="T276" s="138"/>
      <c r="U276" s="135"/>
      <c r="V276" s="135"/>
      <c r="W276" s="138"/>
      <c r="X276" s="420">
        <f t="shared" ref="X276:X281" si="55">G276+J276+M276+P276+S276+V276</f>
        <v>20</v>
      </c>
      <c r="Y276" s="140" t="str">
        <f t="shared" ref="Y276:Y281" si="56">IF(Z276&gt;=3,"Sí","No")</f>
        <v>No</v>
      </c>
      <c r="Z276" s="141">
        <f>COUNTA(G276,J276,M276,P276,S276,V276)</f>
        <v>1</v>
      </c>
      <c r="AA276" s="130"/>
      <c r="AC276" s="130"/>
      <c r="AD276" s="130"/>
      <c r="AE276" s="130"/>
      <c r="AF276" s="130"/>
      <c r="AG276" s="130"/>
      <c r="AH276" s="130"/>
      <c r="AI276" s="130"/>
      <c r="AJ276" s="130"/>
      <c r="AK276" s="130"/>
      <c r="AL276" s="130"/>
      <c r="AM276" s="130"/>
    </row>
    <row r="277" spans="2:39" s="261" customFormat="1" ht="13" x14ac:dyDescent="0.3">
      <c r="B277" s="133">
        <v>2</v>
      </c>
      <c r="C277" s="516" t="s">
        <v>360</v>
      </c>
      <c r="D277" s="517"/>
      <c r="E277" s="518"/>
      <c r="F277" s="237"/>
      <c r="G277" s="137">
        <f>IFERROR(VLOOKUP(C277,'01_RS ALCARRIA'!$F$6:$U$70,15, FALSE), " ")*2</f>
        <v>16</v>
      </c>
      <c r="H277" s="474"/>
      <c r="I277" s="135"/>
      <c r="J277" s="135"/>
      <c r="K277" s="138"/>
      <c r="L277" s="135"/>
      <c r="M277" s="135"/>
      <c r="N277" s="138"/>
      <c r="O277" s="135"/>
      <c r="P277" s="135"/>
      <c r="Q277" s="138"/>
      <c r="R277" s="135"/>
      <c r="S277" s="135"/>
      <c r="T277" s="138"/>
      <c r="U277" s="135"/>
      <c r="V277" s="135"/>
      <c r="W277" s="138"/>
      <c r="X277" s="420">
        <f t="shared" si="55"/>
        <v>16</v>
      </c>
      <c r="Y277" s="140" t="str">
        <f t="shared" si="56"/>
        <v>No</v>
      </c>
      <c r="Z277" s="141">
        <f t="shared" ref="Z277:Z281" si="57">COUNTA(G277,J277,M277,P277,S277,V277)</f>
        <v>1</v>
      </c>
      <c r="AA277" s="130"/>
      <c r="AC277" s="130"/>
      <c r="AD277" s="130"/>
      <c r="AE277" s="130"/>
      <c r="AF277" s="130"/>
      <c r="AG277" s="130"/>
      <c r="AH277" s="130"/>
      <c r="AI277" s="130"/>
      <c r="AJ277" s="130"/>
      <c r="AK277" s="130"/>
      <c r="AL277" s="130"/>
      <c r="AM277" s="130"/>
    </row>
    <row r="278" spans="2:39" s="261" customFormat="1" ht="13" x14ac:dyDescent="0.3">
      <c r="B278" s="133">
        <v>3</v>
      </c>
      <c r="C278" s="516" t="s">
        <v>596</v>
      </c>
      <c r="D278" s="517"/>
      <c r="E278" s="518"/>
      <c r="F278" s="237"/>
      <c r="G278" s="137">
        <f>IFERROR(VLOOKUP(C278,'01_RS ALCARRIA'!$F$6:$U$70,15, FALSE), " ")*2</f>
        <v>10</v>
      </c>
      <c r="H278" s="474"/>
      <c r="I278" s="135"/>
      <c r="J278" s="135"/>
      <c r="K278" s="138"/>
      <c r="L278" s="135"/>
      <c r="M278" s="135"/>
      <c r="N278" s="138"/>
      <c r="O278" s="135"/>
      <c r="P278" s="135"/>
      <c r="Q278" s="138"/>
      <c r="R278" s="135"/>
      <c r="S278" s="135"/>
      <c r="T278" s="138"/>
      <c r="U278" s="135"/>
      <c r="V278" s="135"/>
      <c r="W278" s="138"/>
      <c r="X278" s="420">
        <f t="shared" si="55"/>
        <v>10</v>
      </c>
      <c r="Y278" s="140" t="str">
        <f t="shared" si="56"/>
        <v>No</v>
      </c>
      <c r="Z278" s="141">
        <f t="shared" si="57"/>
        <v>1</v>
      </c>
      <c r="AA278" s="130"/>
      <c r="AC278" s="130"/>
      <c r="AD278" s="130"/>
      <c r="AE278" s="130"/>
      <c r="AF278" s="130"/>
      <c r="AG278" s="130"/>
      <c r="AH278" s="130"/>
      <c r="AI278" s="130"/>
      <c r="AJ278" s="130"/>
      <c r="AK278" s="130"/>
      <c r="AL278" s="130"/>
      <c r="AM278" s="130"/>
    </row>
    <row r="279" spans="2:39" s="261" customFormat="1" ht="12.75" customHeight="1" x14ac:dyDescent="0.3">
      <c r="B279" s="133">
        <v>3</v>
      </c>
      <c r="C279" s="516" t="s">
        <v>625</v>
      </c>
      <c r="D279" s="517"/>
      <c r="E279" s="518"/>
      <c r="F279" s="237"/>
      <c r="G279" s="494">
        <f>IFERROR(VLOOKUP(C279,'01_RS ALCARRIA'!$F$6:$U$70,15, FALSE), " ")*2/2</f>
        <v>10</v>
      </c>
      <c r="H279" s="474"/>
      <c r="I279" s="135"/>
      <c r="J279" s="135"/>
      <c r="K279" s="138"/>
      <c r="L279" s="135"/>
      <c r="M279" s="135"/>
      <c r="N279" s="138"/>
      <c r="O279" s="135"/>
      <c r="P279" s="135"/>
      <c r="Q279" s="138"/>
      <c r="R279" s="135"/>
      <c r="S279" s="135"/>
      <c r="T279" s="138"/>
      <c r="U279" s="135"/>
      <c r="V279" s="135"/>
      <c r="W279" s="138"/>
      <c r="X279" s="420">
        <f t="shared" si="55"/>
        <v>10</v>
      </c>
      <c r="Y279" s="140" t="str">
        <f t="shared" si="56"/>
        <v>No</v>
      </c>
      <c r="Z279" s="141">
        <f t="shared" si="57"/>
        <v>1</v>
      </c>
      <c r="AA279" s="130"/>
      <c r="AC279" s="130"/>
      <c r="AD279" s="130"/>
      <c r="AE279" s="130"/>
      <c r="AF279" s="130"/>
      <c r="AG279" s="130"/>
      <c r="AH279" s="130"/>
      <c r="AI279" s="130"/>
      <c r="AJ279" s="130"/>
      <c r="AK279" s="130"/>
      <c r="AL279" s="130"/>
      <c r="AM279" s="130"/>
    </row>
    <row r="280" spans="2:39" s="261" customFormat="1" ht="12.75" customHeight="1" x14ac:dyDescent="0.3">
      <c r="B280" s="133" t="s">
        <v>658</v>
      </c>
      <c r="C280" s="516" t="s">
        <v>620</v>
      </c>
      <c r="D280" s="517"/>
      <c r="E280" s="518"/>
      <c r="F280" s="237"/>
      <c r="G280" s="137">
        <f>IFERROR(VLOOKUP(C280,'01_RS ALCARRIA'!$F$6:$U$70,15, FALSE), " ")*2</f>
        <v>0</v>
      </c>
      <c r="H280" s="474"/>
      <c r="I280" s="135"/>
      <c r="J280" s="135"/>
      <c r="K280" s="138"/>
      <c r="L280" s="135"/>
      <c r="M280" s="135"/>
      <c r="N280" s="138"/>
      <c r="O280" s="135"/>
      <c r="P280" s="135"/>
      <c r="Q280" s="138"/>
      <c r="R280" s="135"/>
      <c r="S280" s="135"/>
      <c r="T280" s="138"/>
      <c r="U280" s="135"/>
      <c r="V280" s="135"/>
      <c r="W280" s="138"/>
      <c r="X280" s="420">
        <f t="shared" si="55"/>
        <v>0</v>
      </c>
      <c r="Y280" s="140" t="str">
        <f t="shared" si="56"/>
        <v>No</v>
      </c>
      <c r="Z280" s="141">
        <f t="shared" si="57"/>
        <v>1</v>
      </c>
      <c r="AA280" s="130"/>
      <c r="AC280" s="130"/>
      <c r="AD280" s="130"/>
      <c r="AE280" s="130"/>
      <c r="AF280" s="130"/>
      <c r="AG280" s="130"/>
      <c r="AH280" s="130"/>
      <c r="AI280" s="130"/>
      <c r="AJ280" s="130"/>
      <c r="AK280" s="130"/>
      <c r="AL280" s="130"/>
      <c r="AM280" s="130"/>
    </row>
    <row r="281" spans="2:39" s="261" customFormat="1" ht="12.75" customHeight="1" x14ac:dyDescent="0.3">
      <c r="B281" s="133" t="s">
        <v>658</v>
      </c>
      <c r="C281" s="516" t="s">
        <v>638</v>
      </c>
      <c r="D281" s="517"/>
      <c r="E281" s="518"/>
      <c r="F281" s="237"/>
      <c r="G281" s="137">
        <v>0</v>
      </c>
      <c r="H281" s="474"/>
      <c r="I281" s="135"/>
      <c r="J281" s="135"/>
      <c r="K281" s="138"/>
      <c r="L281" s="135"/>
      <c r="M281" s="135"/>
      <c r="N281" s="138"/>
      <c r="O281" s="135"/>
      <c r="P281" s="135"/>
      <c r="Q281" s="138"/>
      <c r="R281" s="135"/>
      <c r="S281" s="135"/>
      <c r="T281" s="138"/>
      <c r="U281" s="135"/>
      <c r="V281" s="135"/>
      <c r="W281" s="138"/>
      <c r="X281" s="420">
        <f t="shared" si="55"/>
        <v>0</v>
      </c>
      <c r="Y281" s="140" t="str">
        <f t="shared" si="56"/>
        <v>No</v>
      </c>
      <c r="Z281" s="141">
        <f t="shared" si="57"/>
        <v>1</v>
      </c>
      <c r="AA281" s="130"/>
      <c r="AC281" s="130"/>
      <c r="AD281" s="130"/>
      <c r="AE281" s="130"/>
      <c r="AF281" s="130"/>
      <c r="AG281" s="130"/>
      <c r="AH281" s="130"/>
      <c r="AI281" s="130"/>
      <c r="AJ281" s="130"/>
      <c r="AK281" s="130"/>
      <c r="AL281" s="130"/>
      <c r="AM281" s="130"/>
    </row>
    <row r="282" spans="2:39" s="261" customFormat="1" x14ac:dyDescent="0.3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130"/>
      <c r="Z282" s="130"/>
      <c r="AA282" s="130"/>
      <c r="AC282" s="130"/>
      <c r="AD282" s="130"/>
      <c r="AE282" s="130"/>
      <c r="AF282" s="130"/>
      <c r="AG282" s="130"/>
      <c r="AH282" s="130"/>
      <c r="AI282" s="130"/>
      <c r="AJ282" s="130"/>
      <c r="AK282" s="130"/>
      <c r="AL282" s="130"/>
      <c r="AM282" s="130"/>
    </row>
    <row r="283" spans="2:39" s="261" customFormat="1" ht="12" x14ac:dyDescent="0.3">
      <c r="B283" s="4"/>
      <c r="C283" s="4"/>
      <c r="D283" s="284"/>
      <c r="E283" s="285" t="s">
        <v>551</v>
      </c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130"/>
      <c r="Z283" s="130"/>
      <c r="AA283" s="130"/>
      <c r="AC283" s="130"/>
      <c r="AD283" s="130"/>
      <c r="AE283" s="130"/>
      <c r="AF283" s="130"/>
      <c r="AG283" s="130"/>
      <c r="AH283" s="130"/>
      <c r="AI283" s="130"/>
      <c r="AJ283" s="130"/>
      <c r="AK283" s="130"/>
      <c r="AL283" s="130"/>
      <c r="AM283" s="130"/>
    </row>
    <row r="284" spans="2:39" s="261" customFormat="1" x14ac:dyDescent="0.3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130"/>
      <c r="Z284" s="130"/>
      <c r="AA284" s="130"/>
      <c r="AC284" s="130"/>
      <c r="AD284" s="130"/>
      <c r="AE284" s="130"/>
      <c r="AF284" s="130"/>
      <c r="AG284" s="130"/>
      <c r="AH284" s="130"/>
      <c r="AI284" s="130"/>
      <c r="AJ284" s="130"/>
      <c r="AK284" s="130"/>
      <c r="AL284" s="130"/>
      <c r="AM284" s="130"/>
    </row>
    <row r="285" spans="2:39" s="261" customFormat="1" ht="39" customHeight="1" x14ac:dyDescent="0.55000000000000004">
      <c r="B285" s="527" t="s">
        <v>516</v>
      </c>
      <c r="C285" s="527"/>
      <c r="D285" s="527"/>
      <c r="E285" s="527"/>
      <c r="F285" s="527"/>
      <c r="G285" s="527"/>
      <c r="H285" s="527"/>
      <c r="I285" s="527"/>
      <c r="J285" s="527"/>
      <c r="K285" s="527"/>
      <c r="L285" s="527"/>
      <c r="M285" s="527"/>
      <c r="N285" s="527"/>
      <c r="O285" s="527"/>
      <c r="P285" s="527"/>
      <c r="Q285" s="527"/>
      <c r="R285" s="527"/>
      <c r="S285" s="527"/>
      <c r="T285" s="527"/>
      <c r="U285" s="527"/>
      <c r="V285" s="527"/>
      <c r="W285" s="4"/>
      <c r="X285" s="4"/>
      <c r="Y285" s="130"/>
      <c r="Z285" s="130"/>
      <c r="AA285" s="130" t="s">
        <v>563</v>
      </c>
      <c r="AC285" s="130"/>
      <c r="AD285" s="130"/>
      <c r="AE285" s="130"/>
      <c r="AF285" s="130"/>
      <c r="AG285" s="130"/>
      <c r="AH285" s="130"/>
      <c r="AI285" s="130"/>
      <c r="AJ285" s="130"/>
      <c r="AK285" s="130"/>
      <c r="AL285" s="130"/>
      <c r="AM285" s="130"/>
    </row>
    <row r="286" spans="2:39" s="261" customFormat="1" ht="37.5" customHeight="1" x14ac:dyDescent="0.3">
      <c r="B286" s="523" t="s">
        <v>352</v>
      </c>
      <c r="C286" s="523"/>
      <c r="D286" s="523"/>
      <c r="E286" s="523"/>
      <c r="F286" s="523"/>
      <c r="G286" s="523"/>
      <c r="H286" s="523"/>
      <c r="I286" s="523"/>
      <c r="J286" s="523"/>
      <c r="K286" s="523"/>
      <c r="L286" s="523"/>
      <c r="M286" s="523"/>
      <c r="N286" s="523"/>
      <c r="O286" s="523"/>
      <c r="P286" s="523"/>
      <c r="Q286" s="523"/>
      <c r="R286" s="523"/>
      <c r="S286" s="523"/>
      <c r="T286" s="523"/>
      <c r="U286" s="523"/>
      <c r="V286" s="523"/>
      <c r="W286" s="4"/>
      <c r="X286" s="4"/>
      <c r="Y286" s="30"/>
      <c r="Z286" s="30"/>
      <c r="AA286" s="130"/>
      <c r="AC286" s="130"/>
      <c r="AD286" s="130"/>
      <c r="AE286" s="130"/>
      <c r="AF286" s="130"/>
      <c r="AG286" s="130"/>
      <c r="AH286" s="130"/>
      <c r="AI286" s="130"/>
      <c r="AJ286" s="130"/>
      <c r="AK286" s="130"/>
      <c r="AL286" s="130"/>
      <c r="AM286" s="130"/>
    </row>
    <row r="287" spans="2:39" s="261" customFormat="1" ht="12.75" customHeight="1" x14ac:dyDescent="0.3">
      <c r="B287" s="430"/>
      <c r="C287" s="416"/>
      <c r="D287" s="422"/>
      <c r="E287" s="224"/>
      <c r="F287" s="424"/>
      <c r="G287" s="422"/>
      <c r="H287" s="226"/>
      <c r="I287" s="426"/>
      <c r="J287" s="422"/>
      <c r="K287" s="226"/>
      <c r="L287" s="426"/>
      <c r="M287" s="422"/>
      <c r="N287" s="226"/>
      <c r="O287" s="426"/>
      <c r="P287" s="422"/>
      <c r="Q287" s="226"/>
      <c r="R287" s="426"/>
      <c r="S287" s="428" t="s">
        <v>213</v>
      </c>
      <c r="T287" s="422"/>
      <c r="U287" s="426"/>
      <c r="V287" s="428" t="s">
        <v>213</v>
      </c>
      <c r="W287" s="413"/>
      <c r="X287" s="431" t="s">
        <v>213</v>
      </c>
      <c r="Y287" s="30"/>
      <c r="Z287" s="30"/>
      <c r="AA287" s="130"/>
      <c r="AC287" s="130"/>
      <c r="AD287" s="130"/>
      <c r="AE287" s="130"/>
      <c r="AF287" s="130"/>
      <c r="AG287" s="130"/>
      <c r="AH287" s="130"/>
      <c r="AI287" s="130"/>
      <c r="AJ287" s="130"/>
      <c r="AK287" s="130"/>
      <c r="AL287" s="130"/>
      <c r="AM287" s="130"/>
    </row>
    <row r="288" spans="2:39" s="261" customFormat="1" ht="12.75" customHeight="1" x14ac:dyDescent="0.3">
      <c r="B288" s="159" t="s">
        <v>0</v>
      </c>
      <c r="C288" s="524" t="s">
        <v>353</v>
      </c>
      <c r="D288" s="525"/>
      <c r="E288" s="526"/>
      <c r="F288" s="421" t="s">
        <v>531</v>
      </c>
      <c r="G288" s="421"/>
      <c r="H288" s="260"/>
      <c r="I288" s="258" t="s">
        <v>524</v>
      </c>
      <c r="J288" s="421"/>
      <c r="K288" s="260"/>
      <c r="L288" s="258" t="s">
        <v>532</v>
      </c>
      <c r="M288" s="421"/>
      <c r="N288" s="260"/>
      <c r="O288" s="258" t="s">
        <v>526</v>
      </c>
      <c r="P288" s="421"/>
      <c r="Q288" s="260"/>
      <c r="R288" s="258" t="s">
        <v>287</v>
      </c>
      <c r="S288" s="421"/>
      <c r="T288" s="259"/>
      <c r="U288" s="258" t="s">
        <v>527</v>
      </c>
      <c r="V288" s="421"/>
      <c r="W288" s="260"/>
      <c r="X288" s="432" t="s">
        <v>9</v>
      </c>
      <c r="Y288" s="519" t="s">
        <v>223</v>
      </c>
      <c r="Z288" s="521" t="s">
        <v>4</v>
      </c>
      <c r="AA288" s="130"/>
      <c r="AC288" s="130"/>
      <c r="AD288" s="130"/>
      <c r="AE288" s="130"/>
      <c r="AF288" s="130"/>
      <c r="AG288" s="130"/>
      <c r="AH288" s="130"/>
      <c r="AI288" s="130"/>
      <c r="AJ288" s="130"/>
      <c r="AK288" s="130"/>
      <c r="AL288" s="130"/>
      <c r="AM288" s="130"/>
    </row>
    <row r="289" spans="2:39" s="261" customFormat="1" ht="12.75" customHeight="1" x14ac:dyDescent="0.3">
      <c r="B289" s="163"/>
      <c r="C289" s="417"/>
      <c r="D289" s="423"/>
      <c r="E289" s="219"/>
      <c r="F289" s="452"/>
      <c r="G289" s="453"/>
      <c r="H289" s="255"/>
      <c r="I289" s="454"/>
      <c r="J289" s="453"/>
      <c r="K289" s="255"/>
      <c r="L289" s="454"/>
      <c r="M289" s="453"/>
      <c r="N289" s="255"/>
      <c r="O289" s="454"/>
      <c r="P289" s="453"/>
      <c r="Q289" s="255"/>
      <c r="R289" s="454"/>
      <c r="S289" s="455"/>
      <c r="T289" s="453"/>
      <c r="U289" s="456"/>
      <c r="V289" s="457" t="s">
        <v>213</v>
      </c>
      <c r="W289" s="458"/>
      <c r="X289" s="459"/>
      <c r="Y289" s="520"/>
      <c r="Z289" s="522"/>
      <c r="AA289" s="130"/>
      <c r="AC289" s="130"/>
      <c r="AD289" s="130"/>
      <c r="AE289" s="130"/>
      <c r="AF289" s="130"/>
      <c r="AG289" s="130"/>
      <c r="AH289" s="130"/>
      <c r="AI289" s="130"/>
      <c r="AJ289" s="130"/>
      <c r="AK289" s="130"/>
      <c r="AL289" s="130"/>
      <c r="AM289" s="130"/>
    </row>
    <row r="290" spans="2:39" s="261" customFormat="1" ht="12.75" customHeight="1" x14ac:dyDescent="0.3">
      <c r="B290" s="133">
        <v>1</v>
      </c>
      <c r="C290" s="516" t="s">
        <v>169</v>
      </c>
      <c r="D290" s="517"/>
      <c r="E290" s="518"/>
      <c r="F290" s="142"/>
      <c r="G290" s="135">
        <f>IFERROR(VLOOKUP(C290,'01_RS ALCARRIA'!$Z$6:$AA$30,2, FALSE), " ")*2</f>
        <v>104</v>
      </c>
      <c r="H290" s="142"/>
      <c r="I290" s="135"/>
      <c r="J290" s="135"/>
      <c r="K290" s="138"/>
      <c r="L290" s="135"/>
      <c r="M290" s="135"/>
      <c r="N290" s="138"/>
      <c r="O290" s="135"/>
      <c r="P290" s="135"/>
      <c r="Q290" s="138"/>
      <c r="R290" s="135"/>
      <c r="S290" s="135"/>
      <c r="T290" s="138"/>
      <c r="U290" s="135"/>
      <c r="V290" s="135"/>
      <c r="W290" s="138"/>
      <c r="X290" s="460">
        <f t="shared" ref="X290:X298" si="58">SUM(G290,J290,M290,P290,S290,V290)</f>
        <v>104</v>
      </c>
      <c r="Y290" s="140" t="str">
        <f t="shared" ref="Y290:Y298" si="59">IF(Z290&gt;=3,"Sí","No")</f>
        <v>No</v>
      </c>
      <c r="Z290" s="141">
        <f>COUNTA(G290,J290,M290,P290,S290,V290)</f>
        <v>1</v>
      </c>
      <c r="AA290" s="130"/>
      <c r="AC290" s="130"/>
      <c r="AD290" s="130"/>
      <c r="AE290" s="130"/>
      <c r="AF290" s="130"/>
      <c r="AG290" s="130"/>
      <c r="AH290" s="130"/>
      <c r="AI290" s="130"/>
      <c r="AJ290" s="130"/>
      <c r="AK290" s="130"/>
      <c r="AL290" s="130"/>
      <c r="AM290" s="130"/>
    </row>
    <row r="291" spans="2:39" s="261" customFormat="1" ht="13" x14ac:dyDescent="0.3">
      <c r="B291" s="133">
        <v>2</v>
      </c>
      <c r="C291" s="516" t="s">
        <v>567</v>
      </c>
      <c r="D291" s="517"/>
      <c r="E291" s="518"/>
      <c r="F291" s="142"/>
      <c r="G291" s="135">
        <f>IFERROR(VLOOKUP(C291,'01_RS ALCARRIA'!$Z$6:$AA$30,2, FALSE), " ")*2</f>
        <v>54</v>
      </c>
      <c r="H291" s="142"/>
      <c r="I291" s="135"/>
      <c r="J291" s="135"/>
      <c r="K291" s="138"/>
      <c r="L291" s="135"/>
      <c r="M291" s="135"/>
      <c r="N291" s="138"/>
      <c r="O291" s="135"/>
      <c r="P291" s="135"/>
      <c r="Q291" s="138"/>
      <c r="R291" s="135"/>
      <c r="S291" s="135"/>
      <c r="T291" s="138"/>
      <c r="U291" s="135"/>
      <c r="V291" s="135"/>
      <c r="W291" s="138"/>
      <c r="X291" s="460">
        <f t="shared" si="58"/>
        <v>54</v>
      </c>
      <c r="Y291" s="140" t="str">
        <f t="shared" si="59"/>
        <v>No</v>
      </c>
      <c r="Z291" s="141">
        <f t="shared" ref="Z291:Z298" si="60">COUNTA(G291,J291,M291,P291,S291,V291)</f>
        <v>1</v>
      </c>
      <c r="AA291" s="130"/>
      <c r="AC291" s="130"/>
      <c r="AD291" s="130"/>
      <c r="AE291" s="130"/>
      <c r="AF291" s="130"/>
      <c r="AG291" s="130"/>
      <c r="AH291" s="130"/>
      <c r="AI291" s="130"/>
      <c r="AJ291" s="130"/>
      <c r="AK291" s="130"/>
      <c r="AL291" s="130"/>
      <c r="AM291" s="130"/>
    </row>
    <row r="292" spans="2:39" s="261" customFormat="1" ht="12.75" customHeight="1" x14ac:dyDescent="0.3">
      <c r="B292" s="133">
        <v>3</v>
      </c>
      <c r="C292" s="516" t="s">
        <v>172</v>
      </c>
      <c r="D292" s="517"/>
      <c r="E292" s="518"/>
      <c r="F292" s="142"/>
      <c r="G292" s="135">
        <f>IFERROR(VLOOKUP(C292,'01_RS ALCARRIA'!$Z$6:$AA$30,2, FALSE), " ")*2</f>
        <v>32</v>
      </c>
      <c r="H292" s="142"/>
      <c r="I292" s="135"/>
      <c r="J292" s="135"/>
      <c r="K292" s="138"/>
      <c r="L292" s="135"/>
      <c r="M292" s="135"/>
      <c r="N292" s="138"/>
      <c r="O292" s="135"/>
      <c r="P292" s="135"/>
      <c r="Q292" s="138"/>
      <c r="R292" s="135"/>
      <c r="S292" s="135"/>
      <c r="T292" s="138"/>
      <c r="U292" s="135"/>
      <c r="V292" s="135"/>
      <c r="W292" s="138"/>
      <c r="X292" s="460">
        <f t="shared" si="58"/>
        <v>32</v>
      </c>
      <c r="Y292" s="140" t="str">
        <f t="shared" si="59"/>
        <v>No</v>
      </c>
      <c r="Z292" s="141">
        <f t="shared" si="60"/>
        <v>1</v>
      </c>
      <c r="AA292" s="130"/>
      <c r="AC292" s="130"/>
      <c r="AD292" s="130"/>
      <c r="AE292" s="130"/>
      <c r="AF292" s="130"/>
      <c r="AG292" s="130"/>
      <c r="AH292" s="130"/>
      <c r="AI292" s="130"/>
      <c r="AJ292" s="130"/>
      <c r="AK292" s="130"/>
      <c r="AL292" s="130"/>
      <c r="AM292" s="130"/>
    </row>
    <row r="293" spans="2:39" s="261" customFormat="1" ht="12.75" customHeight="1" x14ac:dyDescent="0.3">
      <c r="B293" s="133">
        <v>4</v>
      </c>
      <c r="C293" s="516" t="s">
        <v>588</v>
      </c>
      <c r="D293" s="517"/>
      <c r="E293" s="518"/>
      <c r="F293" s="142"/>
      <c r="G293" s="135">
        <f>IFERROR(VLOOKUP(C293,'01_RS ALCARRIA'!$Z$6:$AA$30,2, FALSE), " ")*2</f>
        <v>26</v>
      </c>
      <c r="H293" s="142"/>
      <c r="I293" s="135"/>
      <c r="J293" s="135"/>
      <c r="K293" s="138"/>
      <c r="L293" s="135"/>
      <c r="M293" s="135"/>
      <c r="N293" s="138"/>
      <c r="O293" s="135"/>
      <c r="P293" s="135"/>
      <c r="Q293" s="138"/>
      <c r="R293" s="135"/>
      <c r="S293" s="135"/>
      <c r="T293" s="138"/>
      <c r="U293" s="135"/>
      <c r="V293" s="135"/>
      <c r="W293" s="138"/>
      <c r="X293" s="460">
        <f t="shared" si="58"/>
        <v>26</v>
      </c>
      <c r="Y293" s="140" t="str">
        <f t="shared" si="59"/>
        <v>No</v>
      </c>
      <c r="Z293" s="141">
        <f t="shared" si="60"/>
        <v>1</v>
      </c>
      <c r="AA293" s="130"/>
      <c r="AC293" s="130"/>
      <c r="AD293" s="130"/>
      <c r="AE293" s="130"/>
      <c r="AF293" s="130"/>
      <c r="AG293" s="130"/>
      <c r="AH293" s="130"/>
      <c r="AI293" s="130"/>
      <c r="AJ293" s="130"/>
      <c r="AK293" s="130"/>
      <c r="AL293" s="130"/>
      <c r="AM293" s="130"/>
    </row>
    <row r="294" spans="2:39" ht="12.75" customHeight="1" x14ac:dyDescent="0.3">
      <c r="B294" s="133">
        <v>5</v>
      </c>
      <c r="C294" s="516" t="s">
        <v>171</v>
      </c>
      <c r="D294" s="517"/>
      <c r="E294" s="518"/>
      <c r="F294" s="142"/>
      <c r="G294" s="135">
        <f>IFERROR(VLOOKUP(C294,'01_RS ALCARRIA'!$Z$6:$AA$30,2, FALSE), " ")*2</f>
        <v>16</v>
      </c>
      <c r="H294" s="142"/>
      <c r="I294" s="135"/>
      <c r="J294" s="135"/>
      <c r="K294" s="138"/>
      <c r="L294" s="135"/>
      <c r="M294" s="135"/>
      <c r="N294" s="138"/>
      <c r="O294" s="135"/>
      <c r="P294" s="135"/>
      <c r="Q294" s="138"/>
      <c r="R294" s="135"/>
      <c r="S294" s="135"/>
      <c r="T294" s="138"/>
      <c r="U294" s="135"/>
      <c r="V294" s="135"/>
      <c r="W294" s="138"/>
      <c r="X294" s="460">
        <f t="shared" si="58"/>
        <v>16</v>
      </c>
      <c r="Y294" s="140" t="str">
        <f t="shared" si="59"/>
        <v>No</v>
      </c>
      <c r="Z294" s="141">
        <f t="shared" si="60"/>
        <v>1</v>
      </c>
    </row>
    <row r="295" spans="2:39" ht="12.75" customHeight="1" x14ac:dyDescent="0.3">
      <c r="B295" s="133">
        <v>6</v>
      </c>
      <c r="C295" s="516" t="s">
        <v>330</v>
      </c>
      <c r="D295" s="517"/>
      <c r="E295" s="518"/>
      <c r="F295" s="142"/>
      <c r="G295" s="135">
        <f>IFERROR(VLOOKUP(C295,'01_RS ALCARRIA'!$Z$6:$AA$30,2, FALSE), " ")*2</f>
        <v>8</v>
      </c>
      <c r="H295" s="142"/>
      <c r="I295" s="135"/>
      <c r="J295" s="135"/>
      <c r="K295" s="138"/>
      <c r="L295" s="135"/>
      <c r="M295" s="135"/>
      <c r="N295" s="138"/>
      <c r="O295" s="135"/>
      <c r="P295" s="135"/>
      <c r="Q295" s="138"/>
      <c r="R295" s="135"/>
      <c r="S295" s="135"/>
      <c r="T295" s="138"/>
      <c r="U295" s="135"/>
      <c r="V295" s="135"/>
      <c r="W295" s="138"/>
      <c r="X295" s="460">
        <f t="shared" si="58"/>
        <v>8</v>
      </c>
      <c r="Y295" s="140" t="str">
        <f t="shared" si="59"/>
        <v>No</v>
      </c>
      <c r="Z295" s="141">
        <f t="shared" si="60"/>
        <v>1</v>
      </c>
    </row>
    <row r="296" spans="2:39" ht="12.75" customHeight="1" x14ac:dyDescent="0.3">
      <c r="B296" s="133" t="s">
        <v>658</v>
      </c>
      <c r="C296" s="516" t="s">
        <v>609</v>
      </c>
      <c r="D296" s="517"/>
      <c r="E296" s="518"/>
      <c r="F296" s="142"/>
      <c r="G296" s="135">
        <f>IFERROR(VLOOKUP(C296,'01_RS ALCARRIA'!$Z$6:$AA$30,2, FALSE), " ")*2</f>
        <v>0</v>
      </c>
      <c r="H296" s="142"/>
      <c r="I296" s="135"/>
      <c r="J296" s="135"/>
      <c r="K296" s="138"/>
      <c r="L296" s="135"/>
      <c r="M296" s="135"/>
      <c r="N296" s="138"/>
      <c r="O296" s="135"/>
      <c r="P296" s="135"/>
      <c r="Q296" s="138"/>
      <c r="R296" s="135"/>
      <c r="S296" s="135"/>
      <c r="T296" s="138"/>
      <c r="U296" s="135"/>
      <c r="V296" s="135"/>
      <c r="W296" s="138"/>
      <c r="X296" s="460">
        <f t="shared" si="58"/>
        <v>0</v>
      </c>
      <c r="Y296" s="140" t="str">
        <f t="shared" si="59"/>
        <v>No</v>
      </c>
      <c r="Z296" s="141">
        <f t="shared" si="60"/>
        <v>1</v>
      </c>
    </row>
    <row r="297" spans="2:39" ht="12.75" customHeight="1" x14ac:dyDescent="0.3">
      <c r="B297" s="133" t="s">
        <v>658</v>
      </c>
      <c r="C297" s="516" t="s">
        <v>634</v>
      </c>
      <c r="D297" s="517"/>
      <c r="E297" s="518"/>
      <c r="F297" s="142"/>
      <c r="G297" s="135">
        <f>IFERROR(VLOOKUP(C297,'01_RS ALCARRIA'!$Z$6:$AA$30,2, FALSE), " ")*2</f>
        <v>0</v>
      </c>
      <c r="H297" s="142"/>
      <c r="I297" s="135"/>
      <c r="J297" s="135"/>
      <c r="K297" s="138"/>
      <c r="L297" s="135"/>
      <c r="M297" s="135"/>
      <c r="N297" s="138"/>
      <c r="O297" s="135"/>
      <c r="P297" s="135"/>
      <c r="Q297" s="138"/>
      <c r="R297" s="135"/>
      <c r="S297" s="135"/>
      <c r="T297" s="138"/>
      <c r="U297" s="135"/>
      <c r="V297" s="135"/>
      <c r="W297" s="138"/>
      <c r="X297" s="460">
        <f t="shared" si="58"/>
        <v>0</v>
      </c>
      <c r="Y297" s="140" t="str">
        <f t="shared" si="59"/>
        <v>No</v>
      </c>
      <c r="Z297" s="141">
        <f t="shared" si="60"/>
        <v>1</v>
      </c>
    </row>
    <row r="298" spans="2:39" ht="12.75" customHeight="1" x14ac:dyDescent="0.3">
      <c r="B298" s="133" t="s">
        <v>658</v>
      </c>
      <c r="C298" s="516" t="s">
        <v>444</v>
      </c>
      <c r="D298" s="517"/>
      <c r="E298" s="518"/>
      <c r="F298" s="142"/>
      <c r="G298" s="135">
        <f>IFERROR(VLOOKUP(C298,'01_RS ALCARRIA'!$Z$6:$AA$30,2, FALSE), " ")*2</f>
        <v>0</v>
      </c>
      <c r="H298" s="142"/>
      <c r="I298" s="135"/>
      <c r="J298" s="135"/>
      <c r="K298" s="138"/>
      <c r="L298" s="135"/>
      <c r="M298" s="135"/>
      <c r="N298" s="138"/>
      <c r="O298" s="135"/>
      <c r="P298" s="135"/>
      <c r="Q298" s="138"/>
      <c r="R298" s="135"/>
      <c r="S298" s="135"/>
      <c r="T298" s="138"/>
      <c r="U298" s="135"/>
      <c r="V298" s="135"/>
      <c r="W298" s="138"/>
      <c r="X298" s="460">
        <f t="shared" si="58"/>
        <v>0</v>
      </c>
      <c r="Y298" s="140" t="str">
        <f t="shared" si="59"/>
        <v>No</v>
      </c>
      <c r="Z298" s="141">
        <f t="shared" si="60"/>
        <v>1</v>
      </c>
    </row>
    <row r="299" spans="2:39" x14ac:dyDescent="0.3">
      <c r="T299" s="4"/>
      <c r="U299" s="4"/>
      <c r="V299" s="4"/>
      <c r="W299" s="4"/>
      <c r="X299" s="4"/>
    </row>
    <row r="300" spans="2:39" x14ac:dyDescent="0.3">
      <c r="T300" s="4"/>
      <c r="U300" s="4"/>
      <c r="V300" s="4"/>
      <c r="W300" s="4"/>
      <c r="X300" s="4"/>
    </row>
    <row r="302" spans="2:39" ht="39" customHeight="1" x14ac:dyDescent="0.55000000000000004">
      <c r="B302" s="527" t="s">
        <v>554</v>
      </c>
      <c r="C302" s="527"/>
      <c r="D302" s="527"/>
      <c r="E302" s="527"/>
      <c r="F302" s="527"/>
      <c r="G302" s="527"/>
      <c r="H302" s="527"/>
      <c r="I302" s="527"/>
      <c r="J302" s="527"/>
      <c r="K302" s="527"/>
      <c r="L302" s="527"/>
      <c r="M302" s="527"/>
      <c r="N302" s="527"/>
      <c r="O302" s="527"/>
      <c r="P302" s="527"/>
      <c r="Q302" s="527"/>
      <c r="R302" s="527"/>
      <c r="S302" s="527"/>
      <c r="T302" s="527"/>
      <c r="U302" s="527"/>
      <c r="V302" s="527"/>
      <c r="W302" s="4"/>
      <c r="X302" s="4"/>
      <c r="Y302" s="130" t="s">
        <v>656</v>
      </c>
    </row>
    <row r="303" spans="2:39" ht="37.5" customHeight="1" x14ac:dyDescent="0.3">
      <c r="B303" s="523" t="s">
        <v>224</v>
      </c>
      <c r="C303" s="523"/>
      <c r="D303" s="523"/>
      <c r="E303" s="523"/>
      <c r="F303" s="523"/>
      <c r="G303" s="523"/>
      <c r="H303" s="523"/>
      <c r="I303" s="523"/>
      <c r="J303" s="523"/>
      <c r="K303" s="523"/>
      <c r="L303" s="523"/>
      <c r="M303" s="523"/>
      <c r="N303" s="523"/>
      <c r="O303" s="523"/>
      <c r="P303" s="523"/>
      <c r="Q303" s="523"/>
      <c r="R303" s="523"/>
      <c r="S303" s="523"/>
      <c r="T303" s="523"/>
      <c r="U303" s="523"/>
      <c r="V303" s="523"/>
      <c r="W303" s="4"/>
      <c r="X303" s="4"/>
      <c r="Y303" s="30"/>
      <c r="Z303" s="30"/>
    </row>
    <row r="304" spans="2:39" ht="12.75" customHeight="1" x14ac:dyDescent="0.3">
      <c r="B304" s="430"/>
      <c r="C304" s="416"/>
      <c r="D304" s="422"/>
      <c r="E304" s="224"/>
      <c r="F304" s="424"/>
      <c r="G304" s="422"/>
      <c r="H304" s="226"/>
      <c r="I304" s="426"/>
      <c r="J304" s="422"/>
      <c r="K304" s="226"/>
      <c r="L304" s="426"/>
      <c r="M304" s="422"/>
      <c r="N304" s="226"/>
      <c r="O304" s="426"/>
      <c r="P304" s="422"/>
      <c r="Q304" s="226"/>
      <c r="R304" s="426"/>
      <c r="S304" s="428" t="s">
        <v>213</v>
      </c>
      <c r="T304" s="422"/>
      <c r="U304" s="426"/>
      <c r="V304" s="428" t="s">
        <v>213</v>
      </c>
      <c r="W304" s="413"/>
      <c r="X304" s="431" t="s">
        <v>213</v>
      </c>
      <c r="Y304" s="30"/>
      <c r="Z304" s="30"/>
    </row>
    <row r="305" spans="2:26" ht="12.75" customHeight="1" x14ac:dyDescent="0.3">
      <c r="B305" s="159" t="s">
        <v>0</v>
      </c>
      <c r="C305" s="524" t="s">
        <v>1</v>
      </c>
      <c r="D305" s="525"/>
      <c r="E305" s="526"/>
      <c r="F305" s="421" t="s">
        <v>531</v>
      </c>
      <c r="G305" s="421"/>
      <c r="H305" s="260"/>
      <c r="I305" s="258" t="s">
        <v>524</v>
      </c>
      <c r="J305" s="421"/>
      <c r="K305" s="260"/>
      <c r="L305" s="258" t="s">
        <v>532</v>
      </c>
      <c r="M305" s="421"/>
      <c r="N305" s="260"/>
      <c r="O305" s="258" t="s">
        <v>526</v>
      </c>
      <c r="P305" s="421"/>
      <c r="Q305" s="260"/>
      <c r="R305" s="258" t="s">
        <v>287</v>
      </c>
      <c r="S305" s="421"/>
      <c r="T305" s="259"/>
      <c r="U305" s="258" t="s">
        <v>527</v>
      </c>
      <c r="V305" s="421"/>
      <c r="W305" s="260"/>
      <c r="X305" s="432" t="s">
        <v>9</v>
      </c>
      <c r="Y305" s="519" t="s">
        <v>223</v>
      </c>
      <c r="Z305" s="521" t="s">
        <v>4</v>
      </c>
    </row>
    <row r="306" spans="2:26" ht="12.75" customHeight="1" x14ac:dyDescent="0.3">
      <c r="B306" s="163"/>
      <c r="C306" s="417"/>
      <c r="D306" s="423"/>
      <c r="E306" s="219"/>
      <c r="F306" s="425"/>
      <c r="G306" s="423"/>
      <c r="H306" s="221"/>
      <c r="I306" s="427"/>
      <c r="J306" s="423"/>
      <c r="K306" s="221"/>
      <c r="L306" s="427"/>
      <c r="M306" s="423"/>
      <c r="N306" s="221"/>
      <c r="O306" s="427"/>
      <c r="P306" s="423"/>
      <c r="Q306" s="221"/>
      <c r="R306" s="427"/>
      <c r="S306" s="429"/>
      <c r="T306" s="423"/>
      <c r="U306" s="433"/>
      <c r="V306" s="434" t="s">
        <v>213</v>
      </c>
      <c r="W306" s="435"/>
      <c r="X306" s="256"/>
      <c r="Y306" s="520"/>
      <c r="Z306" s="522"/>
    </row>
    <row r="307" spans="2:26" ht="12.75" customHeight="1" x14ac:dyDescent="0.3">
      <c r="B307" s="133">
        <v>1</v>
      </c>
      <c r="C307" s="237" t="s">
        <v>595</v>
      </c>
      <c r="D307" s="474"/>
      <c r="E307" s="238"/>
      <c r="F307" s="317"/>
      <c r="G307" s="418">
        <v>20</v>
      </c>
      <c r="H307" s="419"/>
      <c r="I307" s="317"/>
      <c r="J307" s="418"/>
      <c r="K307" s="419"/>
      <c r="L307" s="317"/>
      <c r="M307" s="418"/>
      <c r="N307" s="419"/>
      <c r="O307" s="317"/>
      <c r="P307" s="418"/>
      <c r="Q307" s="419"/>
      <c r="R307" s="419"/>
      <c r="S307" s="418"/>
      <c r="T307" s="419"/>
      <c r="U307" s="419"/>
      <c r="V307" s="418"/>
      <c r="W307" s="462"/>
      <c r="X307" s="420">
        <f>G307+J307+M307+P307+S307+V307</f>
        <v>20</v>
      </c>
      <c r="Y307" s="140" t="str">
        <f>IF(Z307&gt;=3,"Sí","No")</f>
        <v>No</v>
      </c>
      <c r="Z307" s="141">
        <f>COUNTA(G307,J307,M307,P307,S307,V307)</f>
        <v>1</v>
      </c>
    </row>
    <row r="308" spans="2:26" ht="12.75" customHeight="1" x14ac:dyDescent="0.3">
      <c r="B308" s="133">
        <v>2</v>
      </c>
      <c r="C308" s="237" t="s">
        <v>606</v>
      </c>
      <c r="D308" s="474"/>
      <c r="E308" s="238"/>
      <c r="F308" s="317"/>
      <c r="G308" s="418">
        <v>16</v>
      </c>
      <c r="H308" s="419"/>
      <c r="I308" s="317"/>
      <c r="J308" s="418"/>
      <c r="K308" s="419"/>
      <c r="L308" s="317"/>
      <c r="M308" s="418"/>
      <c r="N308" s="419"/>
      <c r="O308" s="317"/>
      <c r="P308" s="418"/>
      <c r="Q308" s="419"/>
      <c r="R308" s="419"/>
      <c r="S308" s="418"/>
      <c r="T308" s="419"/>
      <c r="U308" s="419"/>
      <c r="V308" s="418"/>
      <c r="W308" s="462"/>
      <c r="X308" s="420">
        <f>G308+J308+M308+P308+S308+V308</f>
        <v>16</v>
      </c>
      <c r="Y308" s="140" t="str">
        <f>IF(Z308&gt;=3,"Sí","No")</f>
        <v>No</v>
      </c>
      <c r="Z308" s="141">
        <f>COUNTA(G308,J308,M308,P308,S308,V308)</f>
        <v>1</v>
      </c>
    </row>
    <row r="309" spans="2:26" ht="12.75" customHeight="1" x14ac:dyDescent="0.3">
      <c r="B309" s="133">
        <v>3</v>
      </c>
      <c r="C309" s="237" t="s">
        <v>607</v>
      </c>
      <c r="D309" s="474"/>
      <c r="E309" s="238"/>
      <c r="F309" s="317"/>
      <c r="G309" s="418">
        <v>14</v>
      </c>
      <c r="H309" s="419"/>
      <c r="I309" s="317"/>
      <c r="J309" s="418"/>
      <c r="K309" s="419"/>
      <c r="L309" s="317"/>
      <c r="M309" s="418"/>
      <c r="N309" s="419"/>
      <c r="O309" s="317"/>
      <c r="P309" s="418"/>
      <c r="Q309" s="419"/>
      <c r="R309" s="419"/>
      <c r="S309" s="418"/>
      <c r="T309" s="419"/>
      <c r="U309" s="419"/>
      <c r="V309" s="418"/>
      <c r="W309" s="462"/>
      <c r="X309" s="420">
        <f>G309+J309+M309+P309+S309+V309</f>
        <v>14</v>
      </c>
      <c r="Y309" s="140" t="str">
        <f>IF(Z309&gt;=3,"Sí","No")</f>
        <v>No</v>
      </c>
      <c r="Z309" s="141">
        <f>COUNTA(G309,J309,M309,P309,S309,V309)</f>
        <v>1</v>
      </c>
    </row>
    <row r="310" spans="2:26" ht="12.75" customHeight="1" x14ac:dyDescent="0.3">
      <c r="B310" s="133" t="s">
        <v>658</v>
      </c>
      <c r="C310" s="237" t="s">
        <v>632</v>
      </c>
      <c r="D310" s="474"/>
      <c r="E310" s="238"/>
      <c r="F310" s="317"/>
      <c r="G310" s="418">
        <v>0</v>
      </c>
      <c r="H310" s="419"/>
      <c r="I310" s="317"/>
      <c r="J310" s="418"/>
      <c r="K310" s="419"/>
      <c r="L310" s="317"/>
      <c r="M310" s="418"/>
      <c r="N310" s="419"/>
      <c r="O310" s="317"/>
      <c r="P310" s="418"/>
      <c r="Q310" s="419"/>
      <c r="R310" s="419"/>
      <c r="S310" s="418"/>
      <c r="T310" s="419"/>
      <c r="U310" s="419"/>
      <c r="V310" s="418"/>
      <c r="W310" s="462"/>
      <c r="X310" s="420">
        <f>G310+J310+M310+P310+S310+V310</f>
        <v>0</v>
      </c>
      <c r="Y310" s="140" t="str">
        <f>IF(Z310&gt;=3,"Sí","No")</f>
        <v>No</v>
      </c>
      <c r="Z310" s="141">
        <f>COUNTA(G310,J310,M310,P310,S310,V310)</f>
        <v>1</v>
      </c>
    </row>
    <row r="312" spans="2:26" ht="39" customHeight="1" x14ac:dyDescent="0.55000000000000004">
      <c r="B312" s="527" t="s">
        <v>554</v>
      </c>
      <c r="C312" s="527"/>
      <c r="D312" s="527"/>
      <c r="E312" s="527"/>
      <c r="F312" s="527"/>
      <c r="G312" s="527"/>
      <c r="H312" s="527"/>
      <c r="I312" s="527"/>
      <c r="J312" s="527"/>
      <c r="K312" s="527"/>
      <c r="L312" s="527"/>
      <c r="M312" s="527"/>
      <c r="N312" s="527"/>
      <c r="O312" s="527"/>
      <c r="P312" s="527"/>
      <c r="Q312" s="527"/>
      <c r="R312" s="527"/>
      <c r="S312" s="527"/>
      <c r="T312" s="527"/>
      <c r="U312" s="527"/>
      <c r="V312" s="527"/>
      <c r="W312" s="4"/>
      <c r="X312" s="4"/>
    </row>
    <row r="313" spans="2:26" ht="37.5" customHeight="1" x14ac:dyDescent="0.3">
      <c r="B313" s="523" t="s">
        <v>338</v>
      </c>
      <c r="C313" s="523"/>
      <c r="D313" s="523"/>
      <c r="E313" s="523"/>
      <c r="F313" s="523"/>
      <c r="G313" s="523"/>
      <c r="H313" s="523"/>
      <c r="I313" s="523"/>
      <c r="J313" s="523"/>
      <c r="K313" s="523"/>
      <c r="L313" s="523"/>
      <c r="M313" s="523"/>
      <c r="N313" s="523"/>
      <c r="O313" s="523"/>
      <c r="P313" s="523"/>
      <c r="Q313" s="523"/>
      <c r="R313" s="523"/>
      <c r="S313" s="523"/>
      <c r="T313" s="523"/>
      <c r="U313" s="523"/>
      <c r="V313" s="523"/>
      <c r="W313" s="4"/>
      <c r="X313" s="4"/>
      <c r="Y313" s="30"/>
      <c r="Z313" s="30"/>
    </row>
    <row r="314" spans="2:26" ht="12.75" customHeight="1" x14ac:dyDescent="0.3">
      <c r="B314" s="430"/>
      <c r="C314" s="416"/>
      <c r="D314" s="422"/>
      <c r="E314" s="224"/>
      <c r="F314" s="424"/>
      <c r="G314" s="422"/>
      <c r="H314" s="226"/>
      <c r="I314" s="426"/>
      <c r="J314" s="422"/>
      <c r="K314" s="226"/>
      <c r="L314" s="426"/>
      <c r="M314" s="422"/>
      <c r="N314" s="226"/>
      <c r="O314" s="426"/>
      <c r="P314" s="422"/>
      <c r="Q314" s="226"/>
      <c r="R314" s="426"/>
      <c r="S314" s="428" t="s">
        <v>213</v>
      </c>
      <c r="T314" s="422"/>
      <c r="U314" s="426"/>
      <c r="V314" s="428" t="s">
        <v>213</v>
      </c>
      <c r="W314" s="413"/>
      <c r="X314" s="431" t="s">
        <v>213</v>
      </c>
      <c r="Y314" s="30"/>
      <c r="Z314" s="30"/>
    </row>
    <row r="315" spans="2:26" ht="12.75" customHeight="1" x14ac:dyDescent="0.3">
      <c r="B315" s="159" t="s">
        <v>0</v>
      </c>
      <c r="C315" s="524" t="s">
        <v>166</v>
      </c>
      <c r="D315" s="525"/>
      <c r="E315" s="526"/>
      <c r="F315" s="421" t="s">
        <v>531</v>
      </c>
      <c r="G315" s="421"/>
      <c r="H315" s="260"/>
      <c r="I315" s="258" t="s">
        <v>524</v>
      </c>
      <c r="J315" s="421"/>
      <c r="K315" s="260"/>
      <c r="L315" s="258" t="s">
        <v>532</v>
      </c>
      <c r="M315" s="421"/>
      <c r="N315" s="260"/>
      <c r="O315" s="258" t="s">
        <v>526</v>
      </c>
      <c r="P315" s="421"/>
      <c r="Q315" s="260"/>
      <c r="R315" s="258" t="s">
        <v>287</v>
      </c>
      <c r="S315" s="421"/>
      <c r="T315" s="259"/>
      <c r="U315" s="258" t="s">
        <v>527</v>
      </c>
      <c r="V315" s="421"/>
      <c r="W315" s="260"/>
      <c r="X315" s="432" t="s">
        <v>9</v>
      </c>
      <c r="Y315" s="519" t="s">
        <v>223</v>
      </c>
      <c r="Z315" s="521" t="s">
        <v>4</v>
      </c>
    </row>
    <row r="316" spans="2:26" ht="12.75" customHeight="1" x14ac:dyDescent="0.3">
      <c r="B316" s="163"/>
      <c r="C316" s="417"/>
      <c r="D316" s="423"/>
      <c r="E316" s="219"/>
      <c r="F316" s="425"/>
      <c r="G316" s="423"/>
      <c r="H316" s="221"/>
      <c r="I316" s="427"/>
      <c r="J316" s="423"/>
      <c r="K316" s="221"/>
      <c r="L316" s="427"/>
      <c r="M316" s="423"/>
      <c r="N316" s="221"/>
      <c r="O316" s="427"/>
      <c r="P316" s="423"/>
      <c r="Q316" s="221"/>
      <c r="R316" s="427"/>
      <c r="S316" s="429"/>
      <c r="T316" s="423"/>
      <c r="U316" s="433"/>
      <c r="V316" s="434" t="s">
        <v>213</v>
      </c>
      <c r="W316" s="435"/>
      <c r="X316" s="256"/>
      <c r="Y316" s="520"/>
      <c r="Z316" s="522"/>
    </row>
    <row r="317" spans="2:26" ht="12.75" customHeight="1" x14ac:dyDescent="0.3">
      <c r="B317" s="133">
        <v>1</v>
      </c>
      <c r="C317" s="237" t="s">
        <v>596</v>
      </c>
      <c r="D317" s="496"/>
      <c r="E317" s="497"/>
      <c r="F317" s="317"/>
      <c r="G317" s="418">
        <v>20</v>
      </c>
      <c r="H317" s="419"/>
      <c r="I317" s="317"/>
      <c r="J317" s="418"/>
      <c r="K317" s="419"/>
      <c r="L317" s="317"/>
      <c r="M317" s="418"/>
      <c r="N317" s="419"/>
      <c r="O317" s="317"/>
      <c r="P317" s="418"/>
      <c r="Q317" s="419"/>
      <c r="R317" s="419"/>
      <c r="S317" s="418"/>
      <c r="T317" s="419"/>
      <c r="U317" s="419"/>
      <c r="V317" s="418"/>
      <c r="W317" s="462"/>
      <c r="X317" s="420">
        <f>G317+J317+M317+P317+S317+V317</f>
        <v>20</v>
      </c>
      <c r="Y317" s="140" t="str">
        <f>IF(Z317&gt;=3,"Sí","No")</f>
        <v>No</v>
      </c>
      <c r="Z317" s="141">
        <f>COUNTA(G317,J317,M317,P317,S317,V317)</f>
        <v>1</v>
      </c>
    </row>
    <row r="318" spans="2:26" ht="12.75" customHeight="1" x14ac:dyDescent="0.3">
      <c r="B318" s="133">
        <v>2</v>
      </c>
      <c r="C318" s="237" t="s">
        <v>212</v>
      </c>
      <c r="D318" s="496"/>
      <c r="E318" s="497"/>
      <c r="F318" s="317"/>
      <c r="G318" s="418">
        <v>16</v>
      </c>
      <c r="H318" s="419"/>
      <c r="I318" s="317"/>
      <c r="J318" s="418"/>
      <c r="K318" s="419"/>
      <c r="L318" s="317"/>
      <c r="M318" s="418"/>
      <c r="N318" s="419"/>
      <c r="O318" s="317"/>
      <c r="P318" s="418"/>
      <c r="Q318" s="419"/>
      <c r="R318" s="419"/>
      <c r="S318" s="418"/>
      <c r="T318" s="419"/>
      <c r="U318" s="419"/>
      <c r="V318" s="418"/>
      <c r="W318" s="462"/>
      <c r="X318" s="420">
        <f>G318+J318+M318+P318+S318+V318</f>
        <v>16</v>
      </c>
      <c r="Y318" s="140" t="str">
        <f>IF(Z318&gt;=3,"Sí","No")</f>
        <v>No</v>
      </c>
      <c r="Z318" s="141">
        <f>COUNTA(G318,J318,M318,P318,S318,V318)</f>
        <v>1</v>
      </c>
    </row>
    <row r="319" spans="2:26" ht="12.75" customHeight="1" x14ac:dyDescent="0.3">
      <c r="B319" s="133">
        <v>3</v>
      </c>
      <c r="C319" s="237" t="s">
        <v>608</v>
      </c>
      <c r="D319" s="496"/>
      <c r="E319" s="497"/>
      <c r="F319" s="317"/>
      <c r="G319" s="418">
        <v>14</v>
      </c>
      <c r="H319" s="419"/>
      <c r="I319" s="317"/>
      <c r="J319" s="418"/>
      <c r="K319" s="419"/>
      <c r="L319" s="317"/>
      <c r="M319" s="418"/>
      <c r="N319" s="419"/>
      <c r="O319" s="317"/>
      <c r="P319" s="418"/>
      <c r="Q319" s="419"/>
      <c r="R319" s="419"/>
      <c r="S319" s="418"/>
      <c r="T319" s="419"/>
      <c r="U319" s="419"/>
      <c r="V319" s="418"/>
      <c r="W319" s="462"/>
      <c r="X319" s="420">
        <f>G319+J319+M319+P319+S319+V319</f>
        <v>14</v>
      </c>
      <c r="Y319" s="140" t="str">
        <f>IF(Z319&gt;=3,"Sí","No")</f>
        <v>No</v>
      </c>
      <c r="Z319" s="141">
        <f>COUNTA(G319,J319,M319,P319,S319,V319)</f>
        <v>1</v>
      </c>
    </row>
    <row r="320" spans="2:26" ht="12.75" customHeight="1" x14ac:dyDescent="0.3">
      <c r="B320" s="133" t="s">
        <v>658</v>
      </c>
      <c r="C320" s="237" t="s">
        <v>633</v>
      </c>
      <c r="D320" s="496"/>
      <c r="E320" s="497"/>
      <c r="F320" s="317"/>
      <c r="G320" s="418">
        <v>0</v>
      </c>
      <c r="H320" s="419"/>
      <c r="I320" s="317"/>
      <c r="J320" s="418"/>
      <c r="K320" s="419"/>
      <c r="L320" s="317"/>
      <c r="M320" s="418"/>
      <c r="N320" s="419"/>
      <c r="O320" s="317"/>
      <c r="P320" s="418"/>
      <c r="Q320" s="419"/>
      <c r="R320" s="419"/>
      <c r="S320" s="418"/>
      <c r="T320" s="419"/>
      <c r="U320" s="419"/>
      <c r="V320" s="418"/>
      <c r="W320" s="462"/>
      <c r="X320" s="420">
        <f>G320+J320+M320+P320+S320+V320</f>
        <v>0</v>
      </c>
      <c r="Y320" s="140" t="str">
        <f>IF(Z320&gt;=3,"Sí","No")</f>
        <v>No</v>
      </c>
      <c r="Z320" s="141">
        <f>COUNTA(G320,J320,M320,P320,S320,V320)</f>
        <v>1</v>
      </c>
    </row>
    <row r="322" spans="2:26" x14ac:dyDescent="0.3">
      <c r="T322" s="4"/>
      <c r="U322" s="4"/>
      <c r="V322" s="4"/>
      <c r="W322" s="4"/>
      <c r="X322" s="4"/>
    </row>
    <row r="323" spans="2:26" ht="39" customHeight="1" x14ac:dyDescent="0.55000000000000004">
      <c r="B323" s="527" t="s">
        <v>555</v>
      </c>
      <c r="C323" s="527"/>
      <c r="D323" s="527"/>
      <c r="E323" s="527"/>
      <c r="F323" s="527"/>
      <c r="G323" s="527"/>
      <c r="H323" s="527"/>
      <c r="I323" s="527"/>
      <c r="J323" s="527"/>
      <c r="K323" s="527"/>
      <c r="L323" s="527"/>
      <c r="M323" s="527"/>
      <c r="N323" s="527"/>
      <c r="O323" s="527"/>
      <c r="P323" s="527"/>
      <c r="Q323" s="527"/>
      <c r="R323" s="527"/>
      <c r="S323" s="527"/>
      <c r="T323" s="527"/>
      <c r="U323" s="527"/>
      <c r="V323" s="527"/>
      <c r="W323" s="4"/>
      <c r="X323" s="4"/>
      <c r="Y323" s="130" t="s">
        <v>657</v>
      </c>
    </row>
    <row r="324" spans="2:26" ht="37.5" customHeight="1" x14ac:dyDescent="0.3">
      <c r="B324" s="523" t="s">
        <v>224</v>
      </c>
      <c r="C324" s="523"/>
      <c r="D324" s="523"/>
      <c r="E324" s="523"/>
      <c r="F324" s="523"/>
      <c r="G324" s="523"/>
      <c r="H324" s="523"/>
      <c r="I324" s="523"/>
      <c r="J324" s="523"/>
      <c r="K324" s="523"/>
      <c r="L324" s="523"/>
      <c r="M324" s="523"/>
      <c r="N324" s="523"/>
      <c r="O324" s="523"/>
      <c r="P324" s="523"/>
      <c r="Q324" s="523"/>
      <c r="R324" s="523"/>
      <c r="S324" s="523"/>
      <c r="T324" s="523"/>
      <c r="U324" s="523"/>
      <c r="V324" s="523"/>
      <c r="W324" s="4"/>
      <c r="X324" s="4"/>
      <c r="Y324" s="30"/>
      <c r="Z324" s="30"/>
    </row>
    <row r="325" spans="2:26" ht="12.75" customHeight="1" x14ac:dyDescent="0.3">
      <c r="B325" s="430"/>
      <c r="C325" s="416"/>
      <c r="D325" s="422"/>
      <c r="E325" s="224"/>
      <c r="F325" s="424"/>
      <c r="G325" s="422"/>
      <c r="H325" s="226"/>
      <c r="I325" s="426"/>
      <c r="J325" s="422"/>
      <c r="K325" s="226"/>
      <c r="L325" s="426"/>
      <c r="M325" s="422"/>
      <c r="N325" s="226"/>
      <c r="O325" s="426"/>
      <c r="P325" s="422"/>
      <c r="Q325" s="226"/>
      <c r="R325" s="426"/>
      <c r="S325" s="428" t="s">
        <v>213</v>
      </c>
      <c r="T325" s="422"/>
      <c r="U325" s="426"/>
      <c r="V325" s="428" t="s">
        <v>213</v>
      </c>
      <c r="W325" s="413"/>
      <c r="X325" s="431" t="s">
        <v>213</v>
      </c>
      <c r="Y325" s="30"/>
      <c r="Z325" s="30"/>
    </row>
    <row r="326" spans="2:26" ht="12.75" customHeight="1" x14ac:dyDescent="0.3">
      <c r="B326" s="159" t="s">
        <v>0</v>
      </c>
      <c r="C326" s="524" t="s">
        <v>1</v>
      </c>
      <c r="D326" s="525"/>
      <c r="E326" s="526"/>
      <c r="F326" s="421" t="s">
        <v>531</v>
      </c>
      <c r="G326" s="421"/>
      <c r="H326" s="260"/>
      <c r="I326" s="258" t="s">
        <v>524</v>
      </c>
      <c r="J326" s="421"/>
      <c r="K326" s="260"/>
      <c r="L326" s="258" t="s">
        <v>532</v>
      </c>
      <c r="M326" s="421"/>
      <c r="N326" s="260"/>
      <c r="O326" s="258" t="s">
        <v>526</v>
      </c>
      <c r="P326" s="421"/>
      <c r="Q326" s="260"/>
      <c r="R326" s="258" t="s">
        <v>287</v>
      </c>
      <c r="S326" s="421"/>
      <c r="T326" s="259"/>
      <c r="U326" s="258" t="s">
        <v>527</v>
      </c>
      <c r="V326" s="421"/>
      <c r="W326" s="260"/>
      <c r="X326" s="432" t="s">
        <v>9</v>
      </c>
      <c r="Y326" s="519" t="s">
        <v>223</v>
      </c>
      <c r="Z326" s="521" t="s">
        <v>4</v>
      </c>
    </row>
    <row r="327" spans="2:26" ht="12.75" customHeight="1" x14ac:dyDescent="0.3">
      <c r="B327" s="163"/>
      <c r="C327" s="417"/>
      <c r="D327" s="423"/>
      <c r="E327" s="219"/>
      <c r="F327" s="425"/>
      <c r="G327" s="423"/>
      <c r="H327" s="221"/>
      <c r="I327" s="427"/>
      <c r="J327" s="423"/>
      <c r="K327" s="221"/>
      <c r="L327" s="427"/>
      <c r="M327" s="423"/>
      <c r="N327" s="221"/>
      <c r="O327" s="427"/>
      <c r="P327" s="423"/>
      <c r="Q327" s="221"/>
      <c r="R327" s="427"/>
      <c r="S327" s="429"/>
      <c r="T327" s="423"/>
      <c r="U327" s="433"/>
      <c r="V327" s="434" t="s">
        <v>213</v>
      </c>
      <c r="W327" s="435"/>
      <c r="X327" s="256"/>
      <c r="Y327" s="520"/>
      <c r="Z327" s="522"/>
    </row>
    <row r="328" spans="2:26" ht="12.75" customHeight="1" x14ac:dyDescent="0.3">
      <c r="B328" s="133">
        <v>1</v>
      </c>
      <c r="C328" s="516" t="s">
        <v>283</v>
      </c>
      <c r="D328" s="517"/>
      <c r="E328" s="518"/>
      <c r="F328" s="317"/>
      <c r="G328" s="418">
        <v>20</v>
      </c>
      <c r="H328" s="419"/>
      <c r="I328" s="317"/>
      <c r="J328" s="418"/>
      <c r="K328" s="419"/>
      <c r="L328" s="317"/>
      <c r="M328" s="418"/>
      <c r="N328" s="419"/>
      <c r="O328" s="317"/>
      <c r="P328" s="418"/>
      <c r="Q328" s="419"/>
      <c r="R328" s="419"/>
      <c r="S328" s="418"/>
      <c r="T328" s="419"/>
      <c r="U328" s="419"/>
      <c r="V328" s="418"/>
      <c r="W328" s="419"/>
      <c r="X328" s="420">
        <f>G328+J328+M328+P328+S328+V328</f>
        <v>20</v>
      </c>
      <c r="Y328" s="140" t="str">
        <f>IF(Z328&gt;=3,"Sí","No")</f>
        <v>No</v>
      </c>
      <c r="Z328" s="141">
        <f>COUNTA(G328,J328,M328,P328,S328,V328)</f>
        <v>1</v>
      </c>
    </row>
    <row r="329" spans="2:26" ht="12.75" customHeight="1" x14ac:dyDescent="0.3">
      <c r="B329" s="133">
        <v>2</v>
      </c>
      <c r="C329" s="516" t="s">
        <v>332</v>
      </c>
      <c r="D329" s="517"/>
      <c r="E329" s="518"/>
      <c r="F329" s="317"/>
      <c r="G329" s="418">
        <v>16</v>
      </c>
      <c r="H329" s="419"/>
      <c r="I329" s="317"/>
      <c r="J329" s="418"/>
      <c r="K329" s="419"/>
      <c r="L329" s="317"/>
      <c r="M329" s="418"/>
      <c r="N329" s="419"/>
      <c r="O329" s="317"/>
      <c r="P329" s="418"/>
      <c r="Q329" s="419"/>
      <c r="R329" s="419"/>
      <c r="S329" s="418"/>
      <c r="T329" s="419"/>
      <c r="U329" s="419"/>
      <c r="V329" s="418"/>
      <c r="W329" s="419"/>
      <c r="X329" s="420">
        <f>G329+J329+M329+P329+S329+V329</f>
        <v>16</v>
      </c>
      <c r="Y329" s="140" t="str">
        <f>IF(Z329&gt;=3,"Sí","No")</f>
        <v>No</v>
      </c>
      <c r="Z329" s="141">
        <f>COUNTA(G329,J329,M329,P329,S329,V329)</f>
        <v>1</v>
      </c>
    </row>
    <row r="330" spans="2:26" ht="12.75" customHeight="1" x14ac:dyDescent="0.3">
      <c r="B330" s="133">
        <v>3</v>
      </c>
      <c r="C330" s="516" t="s">
        <v>621</v>
      </c>
      <c r="D330" s="517"/>
      <c r="E330" s="518"/>
      <c r="F330" s="317"/>
      <c r="G330" s="418">
        <v>14</v>
      </c>
      <c r="H330" s="419"/>
      <c r="I330" s="317"/>
      <c r="J330" s="418"/>
      <c r="K330" s="419"/>
      <c r="L330" s="317"/>
      <c r="M330" s="418"/>
      <c r="N330" s="419"/>
      <c r="O330" s="317"/>
      <c r="P330" s="418"/>
      <c r="Q330" s="419"/>
      <c r="R330" s="419"/>
      <c r="S330" s="418"/>
      <c r="T330" s="419"/>
      <c r="U330" s="419"/>
      <c r="V330" s="418"/>
      <c r="W330" s="419"/>
      <c r="X330" s="420">
        <f>G330+J330+M330+P330+S330+V330</f>
        <v>14</v>
      </c>
      <c r="Y330" s="140" t="str">
        <f>IF(Z330&gt;=3,"Sí","No")</f>
        <v>No</v>
      </c>
      <c r="Z330" s="141">
        <f>COUNTA(G330,J330,M330,P330,S330,V330)</f>
        <v>1</v>
      </c>
    </row>
    <row r="331" spans="2:26" ht="12.75" customHeight="1" x14ac:dyDescent="0.3">
      <c r="B331" s="133">
        <v>4</v>
      </c>
      <c r="C331" s="516" t="s">
        <v>624</v>
      </c>
      <c r="D331" s="517"/>
      <c r="E331" s="518"/>
      <c r="F331" s="317"/>
      <c r="G331" s="418">
        <v>12</v>
      </c>
      <c r="H331" s="419"/>
      <c r="I331" s="317"/>
      <c r="J331" s="418"/>
      <c r="K331" s="419"/>
      <c r="L331" s="317"/>
      <c r="M331" s="418"/>
      <c r="N331" s="419"/>
      <c r="O331" s="317"/>
      <c r="P331" s="418"/>
      <c r="Q331" s="419"/>
      <c r="R331" s="419"/>
      <c r="S331" s="418"/>
      <c r="T331" s="419"/>
      <c r="U331" s="419"/>
      <c r="V331" s="418"/>
      <c r="W331" s="419"/>
      <c r="X331" s="420">
        <f>G331+J331+M331+P331+S331+V331</f>
        <v>12</v>
      </c>
      <c r="Y331" s="140" t="str">
        <f>IF(Z331&gt;=3,"Sí","No")</f>
        <v>No</v>
      </c>
      <c r="Z331" s="141">
        <f>COUNTA(G331,J331,M331,P331,S331,V331)</f>
        <v>1</v>
      </c>
    </row>
    <row r="332" spans="2:26" ht="12.75" customHeight="1" x14ac:dyDescent="0.3">
      <c r="B332" s="133" t="s">
        <v>658</v>
      </c>
      <c r="C332" s="516" t="s">
        <v>637</v>
      </c>
      <c r="D332" s="517"/>
      <c r="E332" s="518"/>
      <c r="F332" s="317"/>
      <c r="G332" s="418">
        <v>0</v>
      </c>
      <c r="H332" s="419"/>
      <c r="I332" s="317"/>
      <c r="J332" s="418"/>
      <c r="K332" s="419"/>
      <c r="L332" s="317"/>
      <c r="M332" s="418"/>
      <c r="N332" s="419"/>
      <c r="O332" s="317"/>
      <c r="P332" s="418"/>
      <c r="Q332" s="419"/>
      <c r="R332" s="419"/>
      <c r="S332" s="418"/>
      <c r="T332" s="419"/>
      <c r="U332" s="419"/>
      <c r="V332" s="418"/>
      <c r="W332" s="419"/>
      <c r="X332" s="420">
        <f>G332+J332+M332+P332+S332+V332</f>
        <v>0</v>
      </c>
      <c r="Y332" s="140" t="str">
        <f>IF(Z332&gt;=3,"Sí","No")</f>
        <v>No</v>
      </c>
      <c r="Z332" s="141">
        <f>COUNTA(G332,J332,M332,P332,S332,V332)</f>
        <v>1</v>
      </c>
    </row>
    <row r="333" spans="2:26" x14ac:dyDescent="0.3">
      <c r="T333" s="4"/>
      <c r="U333" s="4"/>
      <c r="V333" s="4"/>
      <c r="W333" s="4"/>
      <c r="X333" s="4"/>
    </row>
    <row r="335" spans="2:26" ht="39" customHeight="1" x14ac:dyDescent="0.55000000000000004">
      <c r="B335" s="527" t="s">
        <v>555</v>
      </c>
      <c r="C335" s="527"/>
      <c r="D335" s="527"/>
      <c r="E335" s="527"/>
      <c r="F335" s="527"/>
      <c r="G335" s="527"/>
      <c r="H335" s="527"/>
      <c r="I335" s="527"/>
      <c r="J335" s="527"/>
      <c r="K335" s="527"/>
      <c r="L335" s="527"/>
      <c r="M335" s="527"/>
      <c r="N335" s="527"/>
      <c r="O335" s="527"/>
      <c r="P335" s="527"/>
      <c r="Q335" s="527"/>
      <c r="R335" s="527"/>
      <c r="S335" s="527"/>
      <c r="T335" s="527"/>
      <c r="U335" s="527"/>
      <c r="V335" s="527"/>
      <c r="W335" s="4"/>
      <c r="X335" s="4"/>
    </row>
    <row r="336" spans="2:26" ht="37.5" customHeight="1" x14ac:dyDescent="0.3">
      <c r="B336" s="523" t="s">
        <v>338</v>
      </c>
      <c r="C336" s="523"/>
      <c r="D336" s="523"/>
      <c r="E336" s="523"/>
      <c r="F336" s="523"/>
      <c r="G336" s="523"/>
      <c r="H336" s="523"/>
      <c r="I336" s="523"/>
      <c r="J336" s="523"/>
      <c r="K336" s="523"/>
      <c r="L336" s="523"/>
      <c r="M336" s="523"/>
      <c r="N336" s="523"/>
      <c r="O336" s="523"/>
      <c r="P336" s="523"/>
      <c r="Q336" s="523"/>
      <c r="R336" s="523"/>
      <c r="S336" s="523"/>
      <c r="T336" s="523"/>
      <c r="U336" s="523"/>
      <c r="V336" s="523"/>
      <c r="W336" s="4"/>
      <c r="X336" s="4"/>
      <c r="Y336" s="30"/>
      <c r="Z336" s="30"/>
    </row>
    <row r="337" spans="2:26" ht="12.75" customHeight="1" x14ac:dyDescent="0.3">
      <c r="B337" s="430"/>
      <c r="C337" s="416"/>
      <c r="D337" s="422"/>
      <c r="E337" s="224"/>
      <c r="F337" s="424"/>
      <c r="G337" s="422"/>
      <c r="H337" s="226"/>
      <c r="I337" s="426"/>
      <c r="J337" s="422"/>
      <c r="K337" s="226"/>
      <c r="L337" s="426"/>
      <c r="M337" s="422"/>
      <c r="N337" s="226"/>
      <c r="O337" s="426"/>
      <c r="P337" s="422"/>
      <c r="Q337" s="226"/>
      <c r="R337" s="426"/>
      <c r="S337" s="428" t="s">
        <v>213</v>
      </c>
      <c r="T337" s="422"/>
      <c r="U337" s="426"/>
      <c r="V337" s="428" t="s">
        <v>213</v>
      </c>
      <c r="W337" s="413"/>
      <c r="X337" s="431" t="s">
        <v>213</v>
      </c>
      <c r="Y337" s="30"/>
      <c r="Z337" s="30"/>
    </row>
    <row r="338" spans="2:26" ht="12.75" customHeight="1" x14ac:dyDescent="0.3">
      <c r="B338" s="159" t="s">
        <v>0</v>
      </c>
      <c r="C338" s="524" t="s">
        <v>166</v>
      </c>
      <c r="D338" s="525"/>
      <c r="E338" s="526"/>
      <c r="F338" s="421" t="s">
        <v>531</v>
      </c>
      <c r="G338" s="421"/>
      <c r="H338" s="260"/>
      <c r="I338" s="258" t="s">
        <v>524</v>
      </c>
      <c r="J338" s="421"/>
      <c r="K338" s="260"/>
      <c r="L338" s="258" t="s">
        <v>532</v>
      </c>
      <c r="M338" s="421"/>
      <c r="N338" s="260"/>
      <c r="O338" s="258" t="s">
        <v>526</v>
      </c>
      <c r="P338" s="421"/>
      <c r="Q338" s="260"/>
      <c r="R338" s="258" t="s">
        <v>287</v>
      </c>
      <c r="S338" s="421"/>
      <c r="T338" s="259"/>
      <c r="U338" s="258" t="s">
        <v>527</v>
      </c>
      <c r="V338" s="421"/>
      <c r="W338" s="260"/>
      <c r="X338" s="432" t="s">
        <v>9</v>
      </c>
      <c r="Y338" s="519" t="s">
        <v>223</v>
      </c>
      <c r="Z338" s="521" t="s">
        <v>4</v>
      </c>
    </row>
    <row r="339" spans="2:26" ht="12.75" customHeight="1" x14ac:dyDescent="0.3">
      <c r="B339" s="163"/>
      <c r="C339" s="417"/>
      <c r="D339" s="423"/>
      <c r="E339" s="219"/>
      <c r="F339" s="425"/>
      <c r="G339" s="423"/>
      <c r="H339" s="221"/>
      <c r="I339" s="427"/>
      <c r="J339" s="423"/>
      <c r="K339" s="221"/>
      <c r="L339" s="427"/>
      <c r="M339" s="423"/>
      <c r="N339" s="221"/>
      <c r="O339" s="427"/>
      <c r="P339" s="423"/>
      <c r="Q339" s="221"/>
      <c r="R339" s="427"/>
      <c r="S339" s="429"/>
      <c r="T339" s="423"/>
      <c r="U339" s="433"/>
      <c r="V339" s="434" t="s">
        <v>213</v>
      </c>
      <c r="W339" s="435"/>
      <c r="X339" s="256"/>
      <c r="Y339" s="520"/>
      <c r="Z339" s="522"/>
    </row>
    <row r="340" spans="2:26" ht="12.75" customHeight="1" x14ac:dyDescent="0.3">
      <c r="B340" s="133">
        <v>1</v>
      </c>
      <c r="C340" s="516" t="s">
        <v>599</v>
      </c>
      <c r="D340" s="517"/>
      <c r="E340" s="518"/>
      <c r="F340" s="317"/>
      <c r="G340" s="418">
        <v>20</v>
      </c>
      <c r="H340" s="419"/>
      <c r="I340" s="317"/>
      <c r="J340" s="418"/>
      <c r="K340" s="419"/>
      <c r="L340" s="317"/>
      <c r="M340" s="418"/>
      <c r="N340" s="419"/>
      <c r="O340" s="317"/>
      <c r="P340" s="418"/>
      <c r="Q340" s="419"/>
      <c r="R340" s="419"/>
      <c r="S340" s="418"/>
      <c r="T340" s="419"/>
      <c r="U340" s="419"/>
      <c r="V340" s="418"/>
      <c r="W340" s="419"/>
      <c r="X340" s="420">
        <f>G340+J340+M340+P340+S340+V340</f>
        <v>20</v>
      </c>
      <c r="Y340" s="140" t="str">
        <f>IF(Z340&gt;=3,"Sí","No")</f>
        <v>No</v>
      </c>
      <c r="Z340" s="141">
        <f>COUNTA(G340,J340,M340,P340,S340,V340)</f>
        <v>1</v>
      </c>
    </row>
    <row r="341" spans="2:26" ht="12.75" customHeight="1" x14ac:dyDescent="0.3">
      <c r="B341" s="133">
        <v>2</v>
      </c>
      <c r="C341" s="516" t="s">
        <v>456</v>
      </c>
      <c r="D341" s="517"/>
      <c r="E341" s="518"/>
      <c r="F341" s="317"/>
      <c r="G341" s="418">
        <v>16</v>
      </c>
      <c r="H341" s="419"/>
      <c r="I341" s="317"/>
      <c r="J341" s="418"/>
      <c r="K341" s="419"/>
      <c r="L341" s="317"/>
      <c r="M341" s="418"/>
      <c r="N341" s="419"/>
      <c r="O341" s="317"/>
      <c r="P341" s="418"/>
      <c r="Q341" s="419"/>
      <c r="R341" s="419"/>
      <c r="S341" s="418"/>
      <c r="T341" s="419"/>
      <c r="U341" s="419"/>
      <c r="V341" s="418"/>
      <c r="W341" s="419"/>
      <c r="X341" s="420">
        <f>G341+J341+M341+P341+S341+V341</f>
        <v>16</v>
      </c>
      <c r="Y341" s="140" t="str">
        <f>IF(Z341&gt;=3,"Sí","No")</f>
        <v>No</v>
      </c>
      <c r="Z341" s="141">
        <f>COUNTA(G341,J341,M341,P341,S341,V341)</f>
        <v>1</v>
      </c>
    </row>
    <row r="342" spans="2:26" ht="12.75" customHeight="1" x14ac:dyDescent="0.3">
      <c r="B342" s="133">
        <v>3</v>
      </c>
      <c r="C342" s="516" t="s">
        <v>622</v>
      </c>
      <c r="D342" s="517"/>
      <c r="E342" s="518"/>
      <c r="F342" s="317"/>
      <c r="G342" s="418">
        <v>14</v>
      </c>
      <c r="H342" s="419"/>
      <c r="I342" s="317"/>
      <c r="J342" s="418"/>
      <c r="K342" s="419"/>
      <c r="L342" s="317"/>
      <c r="M342" s="418"/>
      <c r="N342" s="419"/>
      <c r="O342" s="317"/>
      <c r="P342" s="418"/>
      <c r="Q342" s="419"/>
      <c r="R342" s="419"/>
      <c r="S342" s="418"/>
      <c r="T342" s="419"/>
      <c r="U342" s="419"/>
      <c r="V342" s="418"/>
      <c r="W342" s="419"/>
      <c r="X342" s="420">
        <f>G342+J342+M342+P342+S342+V342</f>
        <v>14</v>
      </c>
      <c r="Y342" s="140" t="str">
        <f>IF(Z342&gt;=3,"Sí","No")</f>
        <v>No</v>
      </c>
      <c r="Z342" s="141">
        <f>COUNTA(G342,J342,M342,P342,S342,V342)</f>
        <v>1</v>
      </c>
    </row>
    <row r="343" spans="2:26" ht="12.75" customHeight="1" x14ac:dyDescent="0.3">
      <c r="B343" s="133">
        <v>4</v>
      </c>
      <c r="C343" s="516" t="s">
        <v>625</v>
      </c>
      <c r="D343" s="517"/>
      <c r="E343" s="518"/>
      <c r="F343" s="317"/>
      <c r="G343" s="418">
        <v>12</v>
      </c>
      <c r="H343" s="419"/>
      <c r="I343" s="317"/>
      <c r="J343" s="418"/>
      <c r="K343" s="419"/>
      <c r="L343" s="317"/>
      <c r="M343" s="418"/>
      <c r="N343" s="419"/>
      <c r="O343" s="317"/>
      <c r="P343" s="418"/>
      <c r="Q343" s="419"/>
      <c r="R343" s="419"/>
      <c r="S343" s="418"/>
      <c r="T343" s="419"/>
      <c r="U343" s="419"/>
      <c r="V343" s="418"/>
      <c r="W343" s="419"/>
      <c r="X343" s="420">
        <f>G343+J343+M343+P343+S343+V343</f>
        <v>12</v>
      </c>
      <c r="Y343" s="140" t="str">
        <f>IF(Z343&gt;=3,"Sí","No")</f>
        <v>No</v>
      </c>
      <c r="Z343" s="141">
        <f>COUNTA(G343,J343,M343,P343,S343,V343)</f>
        <v>1</v>
      </c>
    </row>
    <row r="344" spans="2:26" ht="12.75" customHeight="1" x14ac:dyDescent="0.3">
      <c r="B344" s="133" t="s">
        <v>658</v>
      </c>
      <c r="C344" s="516" t="s">
        <v>638</v>
      </c>
      <c r="D344" s="517"/>
      <c r="E344" s="518"/>
      <c r="F344" s="317"/>
      <c r="G344" s="418">
        <v>0</v>
      </c>
      <c r="H344" s="419"/>
      <c r="I344" s="317"/>
      <c r="J344" s="418"/>
      <c r="K344" s="419"/>
      <c r="L344" s="317"/>
      <c r="M344" s="418"/>
      <c r="N344" s="419"/>
      <c r="O344" s="317"/>
      <c r="P344" s="418"/>
      <c r="Q344" s="419"/>
      <c r="R344" s="419"/>
      <c r="S344" s="418"/>
      <c r="T344" s="419"/>
      <c r="U344" s="419"/>
      <c r="V344" s="418"/>
      <c r="W344" s="419"/>
      <c r="X344" s="420">
        <f>G344+J344+M344+P344+S344+V344</f>
        <v>0</v>
      </c>
      <c r="Y344" s="140" t="str">
        <f>IF(Z344&gt;=3,"Sí","No")</f>
        <v>No</v>
      </c>
      <c r="Z344" s="141">
        <f>COUNTA(G344,J344,M344,P344,S344,V344)</f>
        <v>1</v>
      </c>
    </row>
    <row r="348" spans="2:26" x14ac:dyDescent="0.3">
      <c r="G348" s="556" t="s">
        <v>662</v>
      </c>
      <c r="H348" s="556"/>
      <c r="I348" s="556"/>
      <c r="J348" s="556"/>
      <c r="K348" s="556"/>
      <c r="L348" s="556"/>
      <c r="M348" s="556"/>
      <c r="N348" s="556"/>
    </row>
    <row r="349" spans="2:26" x14ac:dyDescent="0.3">
      <c r="T349" s="4"/>
      <c r="U349" s="4"/>
      <c r="V349" s="4"/>
      <c r="W349" s="4"/>
      <c r="X349" s="4"/>
    </row>
    <row r="352" spans="2:26" x14ac:dyDescent="0.3">
      <c r="T352" s="4"/>
      <c r="U352" s="4"/>
      <c r="V352" s="4"/>
      <c r="W352" s="4"/>
      <c r="X352" s="4"/>
    </row>
    <row r="355" spans="20:24" x14ac:dyDescent="0.3">
      <c r="T355" s="4"/>
      <c r="U355" s="4"/>
      <c r="V355" s="4"/>
      <c r="W355" s="4"/>
      <c r="X355" s="4"/>
    </row>
    <row r="360" spans="20:24" x14ac:dyDescent="0.3">
      <c r="T360" s="4"/>
      <c r="U360" s="4"/>
      <c r="V360" s="4"/>
      <c r="W360" s="4"/>
      <c r="X360" s="4"/>
    </row>
    <row r="363" spans="20:24" x14ac:dyDescent="0.3">
      <c r="T363" s="4"/>
      <c r="U363" s="4"/>
      <c r="V363" s="4"/>
      <c r="W363" s="4"/>
      <c r="X363" s="4"/>
    </row>
    <row r="366" spans="20:24" x14ac:dyDescent="0.3">
      <c r="T366" s="4"/>
      <c r="U366" s="4"/>
      <c r="V366" s="4"/>
      <c r="W366" s="4"/>
      <c r="X366" s="4"/>
    </row>
  </sheetData>
  <autoFilter ref="C289:S289" xr:uid="{646F77C2-9B5F-4850-8025-230CB89969D0}">
    <sortState xmlns:xlrd2="http://schemas.microsoft.com/office/spreadsheetml/2017/richdata2" ref="C290:S299">
      <sortCondition descending="1" ref="S289"/>
    </sortState>
  </autoFilter>
  <sortState xmlns:xlrd2="http://schemas.microsoft.com/office/spreadsheetml/2017/richdata2" ref="C290:X298">
    <sortCondition descending="1" ref="X290:X298"/>
  </sortState>
  <mergeCells count="92">
    <mergeCell ref="B150:W150"/>
    <mergeCell ref="Y4:Y5"/>
    <mergeCell ref="Z4:Z5"/>
    <mergeCell ref="Y41:Y42"/>
    <mergeCell ref="Z41:Z42"/>
    <mergeCell ref="Y82:Y83"/>
    <mergeCell ref="Z82:Z83"/>
    <mergeCell ref="AJ102:AL102"/>
    <mergeCell ref="Y114:Y115"/>
    <mergeCell ref="Z114:Z115"/>
    <mergeCell ref="AJ134:AL134"/>
    <mergeCell ref="B149:W149"/>
    <mergeCell ref="B161:W161"/>
    <mergeCell ref="B162:W162"/>
    <mergeCell ref="Y178:Y179"/>
    <mergeCell ref="Z178:Z179"/>
    <mergeCell ref="Y188:Y189"/>
    <mergeCell ref="Z188:Z189"/>
    <mergeCell ref="Y199:Y200"/>
    <mergeCell ref="Z199:Z200"/>
    <mergeCell ref="Y213:Y214"/>
    <mergeCell ref="Z213:Z214"/>
    <mergeCell ref="Y227:Y228"/>
    <mergeCell ref="Z227:Z228"/>
    <mergeCell ref="Z237:Z238"/>
    <mergeCell ref="Y247:Y248"/>
    <mergeCell ref="Z247:Z248"/>
    <mergeCell ref="Y274:Y275"/>
    <mergeCell ref="Z274:Z275"/>
    <mergeCell ref="B271:V271"/>
    <mergeCell ref="C278:E278"/>
    <mergeCell ref="C279:E279"/>
    <mergeCell ref="Y237:Y238"/>
    <mergeCell ref="B255:V255"/>
    <mergeCell ref="B256:V256"/>
    <mergeCell ref="C258:E258"/>
    <mergeCell ref="C260:E260"/>
    <mergeCell ref="B263:V263"/>
    <mergeCell ref="B264:V264"/>
    <mergeCell ref="C266:E266"/>
    <mergeCell ref="C268:E268"/>
    <mergeCell ref="Y288:Y289"/>
    <mergeCell ref="Z288:Z289"/>
    <mergeCell ref="C290:E290"/>
    <mergeCell ref="C291:E291"/>
    <mergeCell ref="C292:E292"/>
    <mergeCell ref="C288:E288"/>
    <mergeCell ref="Z305:Z306"/>
    <mergeCell ref="Z326:Z327"/>
    <mergeCell ref="Z315:Z316"/>
    <mergeCell ref="C295:E295"/>
    <mergeCell ref="C296:E296"/>
    <mergeCell ref="C297:E297"/>
    <mergeCell ref="C298:E298"/>
    <mergeCell ref="B302:V302"/>
    <mergeCell ref="B312:V312"/>
    <mergeCell ref="B313:V313"/>
    <mergeCell ref="C315:E315"/>
    <mergeCell ref="Y315:Y316"/>
    <mergeCell ref="B303:V303"/>
    <mergeCell ref="C305:E305"/>
    <mergeCell ref="Y305:Y306"/>
    <mergeCell ref="B323:V323"/>
    <mergeCell ref="Y326:Y327"/>
    <mergeCell ref="C329:E329"/>
    <mergeCell ref="Z338:Z339"/>
    <mergeCell ref="Y338:Y339"/>
    <mergeCell ref="C330:E330"/>
    <mergeCell ref="C331:E331"/>
    <mergeCell ref="C332:E332"/>
    <mergeCell ref="B335:V335"/>
    <mergeCell ref="C328:E328"/>
    <mergeCell ref="C342:E342"/>
    <mergeCell ref="B336:V336"/>
    <mergeCell ref="G348:N348"/>
    <mergeCell ref="C343:E343"/>
    <mergeCell ref="C344:E344"/>
    <mergeCell ref="C338:E338"/>
    <mergeCell ref="C340:E340"/>
    <mergeCell ref="C341:E341"/>
    <mergeCell ref="B324:V324"/>
    <mergeCell ref="C326:E326"/>
    <mergeCell ref="C280:E280"/>
    <mergeCell ref="C281:E281"/>
    <mergeCell ref="B272:V272"/>
    <mergeCell ref="C274:E274"/>
    <mergeCell ref="C294:E294"/>
    <mergeCell ref="B285:V285"/>
    <mergeCell ref="B286:V286"/>
    <mergeCell ref="C293:E293"/>
    <mergeCell ref="C276:E276"/>
    <mergeCell ref="C277:E277"/>
  </mergeCells>
  <conditionalFormatting sqref="D71">
    <cfRule type="containsBlanks" dxfId="59" priority="65">
      <formula>LEN(TRIM(D71))=0</formula>
    </cfRule>
  </conditionalFormatting>
  <conditionalFormatting sqref="D138">
    <cfRule type="containsBlanks" dxfId="58" priority="52">
      <formula>LEN(TRIM(D138))=0</formula>
    </cfRule>
  </conditionalFormatting>
  <conditionalFormatting sqref="D6:X32">
    <cfRule type="containsBlanks" dxfId="57" priority="64">
      <formula>LEN(TRIM(D6))=0</formula>
    </cfRule>
  </conditionalFormatting>
  <conditionalFormatting sqref="D43:X69">
    <cfRule type="containsBlanks" dxfId="56" priority="31">
      <formula>LEN(TRIM(D43))=0</formula>
    </cfRule>
  </conditionalFormatting>
  <conditionalFormatting sqref="D84:X104">
    <cfRule type="containsBlanks" dxfId="55" priority="29">
      <formula>LEN(TRIM(D84))=0</formula>
    </cfRule>
  </conditionalFormatting>
  <conditionalFormatting sqref="D116:X136">
    <cfRule type="containsBlanks" dxfId="54" priority="27">
      <formula>LEN(TRIM(D116))=0</formula>
    </cfRule>
  </conditionalFormatting>
  <conditionalFormatting sqref="D154:X157">
    <cfRule type="containsBlanks" dxfId="53" priority="25">
      <formula>LEN(TRIM(D154))=0</formula>
    </cfRule>
  </conditionalFormatting>
  <conditionalFormatting sqref="D166:X169">
    <cfRule type="containsBlanks" dxfId="52" priority="24">
      <formula>LEN(TRIM(D166))=0</formula>
    </cfRule>
  </conditionalFormatting>
  <conditionalFormatting sqref="D180:X181">
    <cfRule type="containsBlanks" dxfId="51" priority="40">
      <formula>LEN(TRIM(D180))=0</formula>
    </cfRule>
  </conditionalFormatting>
  <conditionalFormatting sqref="D190:X191">
    <cfRule type="containsBlanks" dxfId="50" priority="20">
      <formula>LEN(TRIM(D190))=0</formula>
    </cfRule>
  </conditionalFormatting>
  <conditionalFormatting sqref="D201:X206">
    <cfRule type="containsBlanks" dxfId="49" priority="19">
      <formula>LEN(TRIM(D201))=0</formula>
    </cfRule>
  </conditionalFormatting>
  <conditionalFormatting sqref="D215:X220">
    <cfRule type="containsBlanks" dxfId="48" priority="18">
      <formula>LEN(TRIM(D215))=0</formula>
    </cfRule>
  </conditionalFormatting>
  <conditionalFormatting sqref="D229:X230">
    <cfRule type="containsBlanks" dxfId="47" priority="14">
      <formula>LEN(TRIM(D229))=0</formula>
    </cfRule>
  </conditionalFormatting>
  <conditionalFormatting sqref="D239:X240">
    <cfRule type="containsBlanks" dxfId="46" priority="13">
      <formula>LEN(TRIM(D239))=0</formula>
    </cfRule>
  </conditionalFormatting>
  <conditionalFormatting sqref="D249:X250">
    <cfRule type="containsBlanks" dxfId="45" priority="12">
      <formula>LEN(TRIM(D249))=0</formula>
    </cfRule>
  </conditionalFormatting>
  <conditionalFormatting sqref="G276:G281">
    <cfRule type="containsBlanks" dxfId="44" priority="50">
      <formula>LEN(TRIM(G276))=0</formula>
    </cfRule>
  </conditionalFormatting>
  <conditionalFormatting sqref="G290:G298">
    <cfRule type="containsBlanks" dxfId="43" priority="63">
      <formula>LEN(TRIM(G290))=0</formula>
    </cfRule>
  </conditionalFormatting>
  <conditionalFormatting sqref="I290:W298">
    <cfRule type="containsBlanks" dxfId="42" priority="4">
      <formula>LEN(TRIM(I290))=0</formula>
    </cfRule>
  </conditionalFormatting>
  <conditionalFormatting sqref="I276:X281">
    <cfRule type="containsBlanks" dxfId="41" priority="9">
      <formula>LEN(TRIM(I276))=0</formula>
    </cfRule>
  </conditionalFormatting>
  <conditionalFormatting sqref="X260">
    <cfRule type="containsBlanks" dxfId="40" priority="2">
      <formula>LEN(TRIM(X260))=0</formula>
    </cfRule>
  </conditionalFormatting>
  <conditionalFormatting sqref="X268">
    <cfRule type="containsBlanks" dxfId="39" priority="1">
      <formula>LEN(TRIM(X268))=0</formula>
    </cfRule>
  </conditionalFormatting>
  <conditionalFormatting sqref="X307:X310">
    <cfRule type="containsBlanks" dxfId="38" priority="39">
      <formula>LEN(TRIM(X307))=0</formula>
    </cfRule>
  </conditionalFormatting>
  <conditionalFormatting sqref="X317:X320">
    <cfRule type="containsBlanks" dxfId="37" priority="3">
      <formula>LEN(TRIM(X317))=0</formula>
    </cfRule>
  </conditionalFormatting>
  <conditionalFormatting sqref="X328:X332">
    <cfRule type="containsBlanks" dxfId="36" priority="37">
      <formula>LEN(TRIM(X328))=0</formula>
    </cfRule>
  </conditionalFormatting>
  <conditionalFormatting sqref="X340:X344">
    <cfRule type="containsBlanks" dxfId="35" priority="32">
      <formula>LEN(TRIM(X340))=0</formula>
    </cfRule>
  </conditionalFormatting>
  <printOptions horizontalCentered="1"/>
  <pageMargins left="0.27559055118110237" right="0.19685039370078741" top="0.74803149606299213" bottom="0.74803149606299213" header="0.31496062992125984" footer="0.31496062992125984"/>
  <pageSetup paperSize="9" scale="56" fitToHeight="0" orientation="portrait" verticalDpi="4294967293" r:id="rId1"/>
  <rowBreaks count="6" manualBreakCount="6">
    <brk id="77" min="1" max="23" man="1"/>
    <brk id="148" max="16383" man="1"/>
    <brk id="194" min="1" max="20" man="1"/>
    <brk id="253" min="1" max="20" man="1"/>
    <brk id="300" min="1" max="23" man="1"/>
    <brk id="349" min="1" max="23" man="1"/>
  </rowBreaks>
  <colBreaks count="1" manualBreakCount="1">
    <brk id="28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EED75-546F-47CD-B4AF-0B2CE0E71F51}">
  <dimension ref="B1:AM479"/>
  <sheetViews>
    <sheetView showRuler="0" view="pageBreakPreview" topLeftCell="A342" zoomScaleNormal="100" zoomScaleSheetLayoutView="100" workbookViewId="0">
      <selection activeCell="B351" sqref="B351"/>
    </sheetView>
  </sheetViews>
  <sheetFormatPr baseColWidth="10" defaultColWidth="12" defaultRowHeight="10.5" x14ac:dyDescent="0.3"/>
  <cols>
    <col min="1" max="1" width="4.296875" style="130" customWidth="1"/>
    <col min="2" max="2" width="4.5" style="130" bestFit="1" customWidth="1"/>
    <col min="3" max="3" width="43.796875" style="130" customWidth="1"/>
    <col min="4" max="4" width="6.5" style="130" customWidth="1"/>
    <col min="5" max="5" width="5" style="130" customWidth="1"/>
    <col min="6" max="6" width="5.796875" style="130" customWidth="1"/>
    <col min="7" max="7" width="6" style="130" customWidth="1"/>
    <col min="8" max="8" width="5.796875" style="150" customWidth="1"/>
    <col min="9" max="17" width="5.796875" style="130" customWidth="1"/>
    <col min="18" max="18" width="6.296875" style="130" customWidth="1"/>
    <col min="19" max="19" width="6.19921875" style="130" customWidth="1"/>
    <col min="20" max="21" width="6.5" style="130" customWidth="1"/>
    <col min="22" max="22" width="6.296875" style="130" customWidth="1"/>
    <col min="23" max="23" width="6.796875" style="130" customWidth="1"/>
    <col min="24" max="24" width="8.69921875" style="130" customWidth="1"/>
    <col min="25" max="25" width="13" style="130" bestFit="1" customWidth="1"/>
    <col min="26" max="26" width="16" style="130" bestFit="1" customWidth="1"/>
    <col min="27" max="27" width="8.69921875" style="130" customWidth="1"/>
    <col min="28" max="28" width="8.69921875" style="261" customWidth="1"/>
    <col min="29" max="29" width="14.5" style="130" customWidth="1"/>
    <col min="30" max="31" width="8.5" style="130" customWidth="1"/>
    <col min="32" max="40" width="8.796875" style="130" customWidth="1"/>
    <col min="41" max="16384" width="12" style="130"/>
  </cols>
  <sheetData>
    <row r="1" spans="2:28" ht="39" customHeight="1" x14ac:dyDescent="0.55000000000000004">
      <c r="B1" s="164" t="s">
        <v>516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30" t="s">
        <v>561</v>
      </c>
    </row>
    <row r="2" spans="2:28" ht="37.5" customHeight="1" x14ac:dyDescent="0.3">
      <c r="B2" s="166" t="s">
        <v>224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30" t="s">
        <v>562</v>
      </c>
      <c r="Z2" s="30"/>
    </row>
    <row r="3" spans="2:28" ht="12.75" customHeight="1" x14ac:dyDescent="0.3">
      <c r="B3" s="162"/>
      <c r="C3" s="168"/>
      <c r="D3" s="161"/>
      <c r="E3" s="161"/>
      <c r="F3" s="222" t="s">
        <v>220</v>
      </c>
      <c r="G3" s="223"/>
      <c r="H3" s="224"/>
      <c r="I3" s="222" t="s">
        <v>663</v>
      </c>
      <c r="J3" s="225"/>
      <c r="K3" s="226"/>
      <c r="L3" s="222" t="s">
        <v>532</v>
      </c>
      <c r="M3" s="225"/>
      <c r="N3" s="226"/>
      <c r="O3" s="222" t="s">
        <v>526</v>
      </c>
      <c r="P3" s="225"/>
      <c r="Q3" s="226"/>
      <c r="R3" s="222" t="s">
        <v>287</v>
      </c>
      <c r="S3" s="225"/>
      <c r="T3" s="226"/>
      <c r="U3" s="413" t="s">
        <v>527</v>
      </c>
      <c r="V3" s="226"/>
      <c r="W3" s="226"/>
      <c r="X3" s="161" t="s">
        <v>213</v>
      </c>
      <c r="Y3" s="30"/>
      <c r="Z3" s="30"/>
    </row>
    <row r="4" spans="2:28" ht="12.75" customHeight="1" x14ac:dyDescent="0.3">
      <c r="B4" s="159" t="s">
        <v>0</v>
      </c>
      <c r="C4" s="170" t="s">
        <v>1</v>
      </c>
      <c r="D4" s="160" t="s">
        <v>2</v>
      </c>
      <c r="E4" s="160" t="s">
        <v>3</v>
      </c>
      <c r="F4" s="217" t="s">
        <v>523</v>
      </c>
      <c r="G4" s="218"/>
      <c r="H4" s="219"/>
      <c r="I4" s="217" t="s">
        <v>525</v>
      </c>
      <c r="J4" s="220"/>
      <c r="K4" s="221"/>
      <c r="L4" s="217" t="s">
        <v>664</v>
      </c>
      <c r="M4" s="220"/>
      <c r="N4" s="221"/>
      <c r="O4" s="217" t="s">
        <v>529</v>
      </c>
      <c r="P4" s="220"/>
      <c r="Q4" s="221"/>
      <c r="R4" s="217" t="s">
        <v>530</v>
      </c>
      <c r="S4" s="220"/>
      <c r="T4" s="221"/>
      <c r="U4" s="414" t="s">
        <v>528</v>
      </c>
      <c r="V4" s="255"/>
      <c r="W4" s="415"/>
      <c r="X4" s="160" t="s">
        <v>9</v>
      </c>
      <c r="Y4" s="519" t="s">
        <v>223</v>
      </c>
      <c r="Z4" s="521" t="s">
        <v>4</v>
      </c>
    </row>
    <row r="5" spans="2:28" ht="12.75" customHeight="1" thickBot="1" x14ac:dyDescent="0.35">
      <c r="B5" s="163"/>
      <c r="C5" s="169"/>
      <c r="D5" s="157"/>
      <c r="E5" s="476"/>
      <c r="F5" s="131" t="s">
        <v>33</v>
      </c>
      <c r="G5" s="131" t="s">
        <v>34</v>
      </c>
      <c r="H5" s="132" t="s">
        <v>35</v>
      </c>
      <c r="I5" s="131" t="s">
        <v>33</v>
      </c>
      <c r="J5" s="131" t="s">
        <v>34</v>
      </c>
      <c r="K5" s="132" t="s">
        <v>35</v>
      </c>
      <c r="L5" s="131" t="s">
        <v>33</v>
      </c>
      <c r="M5" s="131" t="s">
        <v>34</v>
      </c>
      <c r="N5" s="132" t="s">
        <v>35</v>
      </c>
      <c r="O5" s="131" t="s">
        <v>33</v>
      </c>
      <c r="P5" s="131" t="s">
        <v>34</v>
      </c>
      <c r="Q5" s="132" t="s">
        <v>35</v>
      </c>
      <c r="R5" s="131" t="s">
        <v>33</v>
      </c>
      <c r="S5" s="131" t="s">
        <v>34</v>
      </c>
      <c r="T5" s="132" t="s">
        <v>35</v>
      </c>
      <c r="U5" s="131" t="s">
        <v>33</v>
      </c>
      <c r="V5" s="131" t="s">
        <v>34</v>
      </c>
      <c r="W5" s="132" t="s">
        <v>35</v>
      </c>
      <c r="X5" s="157"/>
      <c r="Y5" s="520"/>
      <c r="Z5" s="522"/>
    </row>
    <row r="6" spans="2:28" ht="12.75" customHeight="1" thickBot="1" x14ac:dyDescent="0.35">
      <c r="B6" s="133">
        <v>1</v>
      </c>
      <c r="C6" s="142" t="s">
        <v>574</v>
      </c>
      <c r="D6" s="481">
        <f>IFERROR(VLOOKUP(C6,Tabla15[[Piloto]:[Puntos clase]],7, FALSE), " ")</f>
        <v>2</v>
      </c>
      <c r="E6" s="477" t="str">
        <f>LEFT(AB6,LEN(AB6)-2)</f>
        <v>2</v>
      </c>
      <c r="F6" s="475">
        <f>IFERROR(VLOOKUP(C6,'01_RS ALCARRIA'!$D$6:$M$36,10,FALSE),"")</f>
        <v>25</v>
      </c>
      <c r="G6" s="135">
        <f>IFERROR(VLOOKUP(C6,'01_RS ALCARRIA'!$D$6:$O$36,12,FALSE),"")</f>
        <v>10</v>
      </c>
      <c r="H6" s="138">
        <f>(F6+G6)*2</f>
        <v>70</v>
      </c>
      <c r="I6" s="135">
        <f>IFERROR(VLOOKUP(C6,'02_TCT GUADAMUR'!$D$6:$M$36,10,FALSE),"")</f>
        <v>17</v>
      </c>
      <c r="J6" s="135">
        <f>IFERROR(VLOOKUP(C6,'02_TCT GUADAMUR'!$D$6:$O$36,12,FALSE),"")</f>
        <v>6</v>
      </c>
      <c r="K6" s="138">
        <f>(I6+J6)</f>
        <v>23</v>
      </c>
      <c r="L6" s="135">
        <f>IFERROR(VLOOKUP(C6,'03_TCT MAQUEDA'!$D$6:$M$36,10,FALSE),"")</f>
        <v>17</v>
      </c>
      <c r="M6" s="135">
        <f>IFERROR(VLOOKUP(C6,'03_TCT MAQUEDA'!$D$6:$O$36,12,FALSE),"")</f>
        <v>10</v>
      </c>
      <c r="N6" s="138">
        <f>(L6+M6)</f>
        <v>27</v>
      </c>
      <c r="O6" s="135" t="str">
        <f>IFERROR(VLOOKUP(C6,'04_RALLYE CAM'!$D$6:$M$36,10,FALSE),"")</f>
        <v/>
      </c>
      <c r="P6" s="135" t="str">
        <f>IFERROR(VLOOKUP(C6,'04_RALLYE CAM'!$D$6:$O$36,12,FALSE),"")</f>
        <v/>
      </c>
      <c r="Q6" s="138" t="e">
        <f>(O6+P6)*3</f>
        <v>#VALUE!</v>
      </c>
      <c r="R6" s="135" t="str">
        <f>IFERROR(VLOOKUP(C6,'05_RS NAVALCARNERO'!$D$6:$M$28,10,FALSE),"")</f>
        <v/>
      </c>
      <c r="S6" s="135" t="str">
        <f>IFERROR(VLOOKUP(C6,'05_RS NAVALCARNERO'!$D$6:$O$28,12,FALSE),"")</f>
        <v/>
      </c>
      <c r="T6" s="138" t="e">
        <f>(R6+S6)*2</f>
        <v>#VALUE!</v>
      </c>
      <c r="U6" s="135" t="str">
        <f>IFERROR(VLOOKUP(C6,'06_TCT NUEVO BAZTÁN'!$D$6:$M$28,10,FALSE),"")</f>
        <v/>
      </c>
      <c r="V6" s="135" t="str">
        <f>IFERROR(VLOOKUP(C6,'06_TCT NUEVO BAZTÁN'!$D$6:$O$28,12,FALSE),"")</f>
        <v/>
      </c>
      <c r="W6" s="138" t="e">
        <f t="shared" ref="W6:W38" si="0">(U6+V6)</f>
        <v>#VALUE!</v>
      </c>
      <c r="X6" s="139" t="e">
        <f>H6+K6+N6+Q6+T6+W6</f>
        <v>#VALUE!</v>
      </c>
      <c r="Y6" s="140" t="str">
        <f>IF(Z6&gt;=3,"Sí","No")</f>
        <v>Sí</v>
      </c>
      <c r="Z6" s="141">
        <f>COUNTA(H6,K6,N6,Q6,T6,W6)</f>
        <v>6</v>
      </c>
      <c r="AB6" s="261" t="str">
        <f>IFERROR(VLOOKUP(C6,Tabla15[[Piloto]:[Puntos clase]],6, FALSE), " ")</f>
        <v>2RM</v>
      </c>
    </row>
    <row r="7" spans="2:28" ht="12.75" customHeight="1" x14ac:dyDescent="0.3">
      <c r="B7" s="133">
        <v>2</v>
      </c>
      <c r="C7" s="134" t="s">
        <v>576</v>
      </c>
      <c r="D7" s="482">
        <f>IFERROR(VLOOKUP(C7,Tabla15[[Piloto]:[Puntos clase]],7, FALSE), " ")</f>
        <v>2</v>
      </c>
      <c r="E7" s="483" t="str">
        <f>LEFT(AB7,LEN(AB7)-2)</f>
        <v>2</v>
      </c>
      <c r="F7" s="135">
        <f>IFERROR(VLOOKUP(C7,'01_RS ALCARRIA'!$D$6:$M$36,10,FALSE),"")</f>
        <v>20</v>
      </c>
      <c r="G7" s="135">
        <f>IFERROR(VLOOKUP(C7,'01_RS ALCARRIA'!$D$6:$O$36,12,FALSE),"")</f>
        <v>8</v>
      </c>
      <c r="H7" s="138">
        <f t="shared" ref="H7:H38" si="1">(F7+G7)*2</f>
        <v>56</v>
      </c>
      <c r="I7" s="135">
        <f>IFERROR(VLOOKUP(C7,'02_TCT GUADAMUR'!$D$6:$M$36,10,FALSE),"")</f>
        <v>25</v>
      </c>
      <c r="J7" s="135">
        <f>IFERROR(VLOOKUP(C7,'02_TCT GUADAMUR'!$D$6:$O$36,12,FALSE),"")</f>
        <v>10</v>
      </c>
      <c r="K7" s="138">
        <f t="shared" ref="K7:K38" si="2">(I7+J7)</f>
        <v>35</v>
      </c>
      <c r="L7" s="135">
        <f>IFERROR(VLOOKUP(C7,'03_TCT MAQUEDA'!$D$6:$M$36,10,FALSE),"")</f>
        <v>15</v>
      </c>
      <c r="M7" s="135">
        <f>IFERROR(VLOOKUP(C7,'03_TCT MAQUEDA'!$D$6:$O$36,12,FALSE),"")</f>
        <v>8</v>
      </c>
      <c r="N7" s="138">
        <f t="shared" ref="N7:N38" si="3">(L7+M7)</f>
        <v>23</v>
      </c>
      <c r="O7" s="135" t="str">
        <f>IFERROR(VLOOKUP(C7,'04_RALLYE CAM'!$D$6:$M$36,10,FALSE),"")</f>
        <v/>
      </c>
      <c r="P7" s="135" t="str">
        <f>IFERROR(VLOOKUP(C7,'04_RALLYE CAM'!$D$6:$O$36,12,FALSE),"")</f>
        <v/>
      </c>
      <c r="Q7" s="138" t="e">
        <f t="shared" ref="Q7:Q38" si="4">(O7+P7)*3</f>
        <v>#VALUE!</v>
      </c>
      <c r="R7" s="135" t="str">
        <f>IFERROR(VLOOKUP(C7,'05_RS NAVALCARNERO'!$D$6:$M$28,10,FALSE),"")</f>
        <v/>
      </c>
      <c r="S7" s="135" t="str">
        <f>IFERROR(VLOOKUP(C7,'05_RS NAVALCARNERO'!$D$6:$O$28,12,FALSE),"")</f>
        <v/>
      </c>
      <c r="T7" s="138" t="e">
        <f t="shared" ref="T7:T38" si="5">(R7+S7)*2</f>
        <v>#VALUE!</v>
      </c>
      <c r="U7" s="135" t="str">
        <f>IFERROR(VLOOKUP(C7,'06_TCT NUEVO BAZTÁN'!$D$6:$M$28,10,FALSE),"")</f>
        <v/>
      </c>
      <c r="V7" s="135" t="str">
        <f>IFERROR(VLOOKUP(C7,'06_TCT NUEVO BAZTÁN'!$D$6:$O$28,12,FALSE),"")</f>
        <v/>
      </c>
      <c r="W7" s="138" t="e">
        <f t="shared" si="0"/>
        <v>#VALUE!</v>
      </c>
      <c r="X7" s="139" t="e">
        <f t="shared" ref="X7:X38" si="6">H7+K7+N7+Q7+T7+W7</f>
        <v>#VALUE!</v>
      </c>
      <c r="Y7" s="140" t="str">
        <f t="shared" ref="Y7:Y38" si="7">IF(Z7&gt;=3,"Sí","No")</f>
        <v>Sí</v>
      </c>
      <c r="Z7" s="141">
        <f t="shared" ref="Z7:Z38" si="8">COUNTA(H7,K7,N7,Q7,T7,W7)</f>
        <v>6</v>
      </c>
      <c r="AB7" s="261" t="str">
        <f>IFERROR(VLOOKUP(C7,Tabla15[[Piloto]:[Puntos clase]],6, FALSE), " ")</f>
        <v>2RM</v>
      </c>
    </row>
    <row r="8" spans="2:28" ht="12.75" customHeight="1" x14ac:dyDescent="0.3">
      <c r="B8" s="133">
        <v>3</v>
      </c>
      <c r="C8" s="142" t="s">
        <v>654</v>
      </c>
      <c r="D8" s="482">
        <f>IFERROR(VLOOKUP(C8,Tabla15[[Piloto]:[Puntos clase]],7, FALSE), " ")</f>
        <v>1</v>
      </c>
      <c r="E8" s="482" t="str">
        <f>LEFT(AB8,LEN(AB8)-2)</f>
        <v>4</v>
      </c>
      <c r="F8" s="135">
        <f>IFERROR(VLOOKUP(C8,'01_RS ALCARRIA'!$D$6:$M$36,10,FALSE),"")</f>
        <v>17</v>
      </c>
      <c r="G8" s="284">
        <f>IFERROR(VLOOKUP(C8,'01_RS ALCARRIA'!$D$6:$O$36,12,FALSE),"")/2</f>
        <v>5</v>
      </c>
      <c r="H8" s="138">
        <f t="shared" si="1"/>
        <v>44</v>
      </c>
      <c r="I8" s="135" t="str">
        <f>IFERROR(VLOOKUP(C8,'02_TCT GUADAMUR'!$D$6:$M$36,10,FALSE),"")</f>
        <v/>
      </c>
      <c r="J8" s="135" t="str">
        <f>IFERROR(VLOOKUP(C8,'02_TCT GUADAMUR'!$D$6:$O$36,12,FALSE),"")</f>
        <v/>
      </c>
      <c r="K8" s="138" t="e">
        <f t="shared" si="2"/>
        <v>#VALUE!</v>
      </c>
      <c r="L8" s="135" t="str">
        <f>IFERROR(VLOOKUP(C8,'03_TCT MAQUEDA'!$D$6:$M$36,10,FALSE),"")</f>
        <v/>
      </c>
      <c r="M8" s="135" t="str">
        <f>IFERROR(VLOOKUP(C8,'03_TCT MAQUEDA'!$D$6:$O$36,12,FALSE),"")</f>
        <v/>
      </c>
      <c r="N8" s="138" t="e">
        <f t="shared" si="3"/>
        <v>#VALUE!</v>
      </c>
      <c r="O8" s="135">
        <v>0</v>
      </c>
      <c r="P8" s="135">
        <v>0</v>
      </c>
      <c r="Q8" s="138">
        <f t="shared" si="4"/>
        <v>0</v>
      </c>
      <c r="R8" s="135" t="str">
        <f>IFERROR(VLOOKUP(C8,'05_RS NAVALCARNERO'!$D$6:$M$28,10,FALSE),"")</f>
        <v/>
      </c>
      <c r="S8" s="135" t="str">
        <f>IFERROR(VLOOKUP(C8,'05_RS NAVALCARNERO'!$D$6:$O$28,12,FALSE),"")</f>
        <v/>
      </c>
      <c r="T8" s="138" t="e">
        <f t="shared" si="5"/>
        <v>#VALUE!</v>
      </c>
      <c r="U8" s="135" t="str">
        <f>IFERROR(VLOOKUP(C8,'06_TCT NUEVO BAZTÁN'!$D$6:$M$28,10,FALSE),"")</f>
        <v/>
      </c>
      <c r="V8" s="135" t="str">
        <f>IFERROR(VLOOKUP(C8,'06_TCT NUEVO BAZTÁN'!$D$6:$O$28,12,FALSE),"")</f>
        <v/>
      </c>
      <c r="W8" s="138" t="e">
        <f t="shared" si="0"/>
        <v>#VALUE!</v>
      </c>
      <c r="X8" s="139" t="e">
        <f t="shared" si="6"/>
        <v>#VALUE!</v>
      </c>
      <c r="Y8" s="140" t="str">
        <f t="shared" si="7"/>
        <v>Sí</v>
      </c>
      <c r="Z8" s="141">
        <f t="shared" si="8"/>
        <v>6</v>
      </c>
      <c r="AB8" s="261" t="str">
        <f>IFERROR(VLOOKUP(C8,Tabla15[[Piloto]:[Puntos clase]],6, FALSE), " ")</f>
        <v>4RM</v>
      </c>
    </row>
    <row r="9" spans="2:28" ht="12.75" customHeight="1" x14ac:dyDescent="0.3">
      <c r="B9" s="133">
        <v>4</v>
      </c>
      <c r="C9" s="142" t="s">
        <v>585</v>
      </c>
      <c r="D9" s="482">
        <v>2</v>
      </c>
      <c r="E9" s="482">
        <v>2</v>
      </c>
      <c r="F9" s="135">
        <f>IFERROR(VLOOKUP(C9,'01_RS ALCARRIA'!$D$6:$M$36,10,FALSE),"")</f>
        <v>15</v>
      </c>
      <c r="G9" s="135">
        <f>IFERROR(VLOOKUP(C9,'01_RS ALCARRIA'!$D$6:$O$36,12,FALSE),"")</f>
        <v>6</v>
      </c>
      <c r="H9" s="138">
        <f t="shared" si="1"/>
        <v>42</v>
      </c>
      <c r="I9" s="135" t="str">
        <f>IFERROR(VLOOKUP(C9,'02_TCT GUADAMUR'!$D$6:$M$36,10,FALSE),"")</f>
        <v/>
      </c>
      <c r="J9" s="135" t="str">
        <f>IFERROR(VLOOKUP(C9,'02_TCT GUADAMUR'!$D$6:$O$36,12,FALSE),"")</f>
        <v/>
      </c>
      <c r="K9" s="138" t="e">
        <f t="shared" si="2"/>
        <v>#VALUE!</v>
      </c>
      <c r="L9" s="135" t="str">
        <f>IFERROR(VLOOKUP(C9,'03_TCT MAQUEDA'!$D$6:$M$36,10,FALSE),"")</f>
        <v/>
      </c>
      <c r="M9" s="135" t="str">
        <f>IFERROR(VLOOKUP(C9,'03_TCT MAQUEDA'!$D$6:$O$36,12,FALSE),"")</f>
        <v/>
      </c>
      <c r="N9" s="138" t="e">
        <f t="shared" si="3"/>
        <v>#VALUE!</v>
      </c>
      <c r="O9" s="135" t="str">
        <f>IFERROR(VLOOKUP(C9,'04_RALLYE CAM'!$D$6:$M$36,10,FALSE),"")</f>
        <v/>
      </c>
      <c r="P9" s="135" t="str">
        <f>IFERROR(VLOOKUP(C9,'04_RALLYE CAM'!$D$6:$O$36,12,FALSE),"")</f>
        <v/>
      </c>
      <c r="Q9" s="138" t="e">
        <f t="shared" si="4"/>
        <v>#VALUE!</v>
      </c>
      <c r="R9" s="135" t="str">
        <f>IFERROR(VLOOKUP(C9,'05_RS NAVALCARNERO'!$D$6:$M$28,10,FALSE),"")</f>
        <v/>
      </c>
      <c r="S9" s="135" t="str">
        <f>IFERROR(VLOOKUP(C9,'05_RS NAVALCARNERO'!$D$6:$O$28,12,FALSE),"")</f>
        <v/>
      </c>
      <c r="T9" s="138" t="e">
        <f t="shared" si="5"/>
        <v>#VALUE!</v>
      </c>
      <c r="U9" s="135" t="str">
        <f>IFERROR(VLOOKUP(C9,'06_TCT NUEVO BAZTÁN'!$D$6:$M$28,10,FALSE),"")</f>
        <v/>
      </c>
      <c r="V9" s="135" t="str">
        <f>IFERROR(VLOOKUP(C9,'06_TCT NUEVO BAZTÁN'!$D$6:$O$28,12,FALSE),"")</f>
        <v/>
      </c>
      <c r="W9" s="138" t="e">
        <f t="shared" si="0"/>
        <v>#VALUE!</v>
      </c>
      <c r="X9" s="139" t="e">
        <f t="shared" si="6"/>
        <v>#VALUE!</v>
      </c>
      <c r="Y9" s="140" t="str">
        <f t="shared" si="7"/>
        <v>Sí</v>
      </c>
      <c r="Z9" s="141">
        <f t="shared" si="8"/>
        <v>6</v>
      </c>
      <c r="AB9" s="261" t="str">
        <f>IFERROR(VLOOKUP(C9,Tabla15[[Piloto]:[Puntos clase]],6, FALSE), " ")</f>
        <v>2RM</v>
      </c>
    </row>
    <row r="10" spans="2:28" ht="12.75" customHeight="1" x14ac:dyDescent="0.3">
      <c r="B10" s="133">
        <v>5</v>
      </c>
      <c r="C10" s="134" t="s">
        <v>174</v>
      </c>
      <c r="D10" s="482">
        <f>IFERROR(VLOOKUP(C10,Tabla15[[Piloto]:[Puntos clase]],7, FALSE), " ")</f>
        <v>1</v>
      </c>
      <c r="E10" s="482" t="str">
        <f t="shared" ref="E10:E19" si="9">LEFT(AB10,LEN(AB10)-2)</f>
        <v>4</v>
      </c>
      <c r="F10" s="135">
        <f>IFERROR(VLOOKUP(C10,'01_RS ALCARRIA'!$D$6:$M$36,10,FALSE),"")</f>
        <v>12</v>
      </c>
      <c r="G10" s="284">
        <f>IFERROR(VLOOKUP(C10,'01_RS ALCARRIA'!$D$6:$O$36,12,FALSE),"")/2</f>
        <v>4</v>
      </c>
      <c r="H10" s="138">
        <f t="shared" si="1"/>
        <v>32</v>
      </c>
      <c r="I10" s="135">
        <f>IFERROR(VLOOKUP(C10,'02_TCT GUADAMUR'!$D$6:$M$36,10,FALSE),"")</f>
        <v>15</v>
      </c>
      <c r="J10" s="135">
        <f>IFERROR(VLOOKUP(C10,'02_TCT GUADAMUR'!$D$6:$O$36,12,FALSE),"")</f>
        <v>10</v>
      </c>
      <c r="K10" s="138">
        <f t="shared" si="2"/>
        <v>25</v>
      </c>
      <c r="L10" s="135">
        <v>0</v>
      </c>
      <c r="M10" s="135">
        <v>0</v>
      </c>
      <c r="N10" s="138">
        <f t="shared" si="3"/>
        <v>0</v>
      </c>
      <c r="O10" s="135">
        <f>IFERROR(VLOOKUP(C10,'04_RALLYE CAM'!$D$6:$M$36,10,FALSE),"")</f>
        <v>6</v>
      </c>
      <c r="P10" s="135">
        <f>IFERROR(VLOOKUP(C10,'04_RALLYE CAM'!$D$6:$O$36,12,FALSE),"")</f>
        <v>3</v>
      </c>
      <c r="Q10" s="138">
        <f t="shared" si="4"/>
        <v>27</v>
      </c>
      <c r="R10" s="135" t="str">
        <f>IFERROR(VLOOKUP(C10,'05_RS NAVALCARNERO'!$D$6:$M$28,10,FALSE),"")</f>
        <v/>
      </c>
      <c r="S10" s="135" t="str">
        <f>IFERROR(VLOOKUP(C10,'05_RS NAVALCARNERO'!$D$6:$O$28,12,FALSE),"")</f>
        <v/>
      </c>
      <c r="T10" s="138" t="e">
        <f t="shared" si="5"/>
        <v>#VALUE!</v>
      </c>
      <c r="U10" s="135" t="str">
        <f>IFERROR(VLOOKUP(C10,'06_TCT NUEVO BAZTÁN'!$D$6:$M$28,10,FALSE),"")</f>
        <v/>
      </c>
      <c r="V10" s="135" t="str">
        <f>IFERROR(VLOOKUP(C10,'06_TCT NUEVO BAZTÁN'!$D$6:$O$28,12,FALSE),"")</f>
        <v/>
      </c>
      <c r="W10" s="138" t="e">
        <f t="shared" si="0"/>
        <v>#VALUE!</v>
      </c>
      <c r="X10" s="139" t="e">
        <f t="shared" si="6"/>
        <v>#VALUE!</v>
      </c>
      <c r="Y10" s="140" t="str">
        <f t="shared" si="7"/>
        <v>Sí</v>
      </c>
      <c r="Z10" s="141">
        <f t="shared" si="8"/>
        <v>6</v>
      </c>
      <c r="AB10" s="261" t="str">
        <f>IFERROR(VLOOKUP(C10,Tabla15[[Piloto]:[Puntos clase]],6, FALSE), " ")</f>
        <v>4RM</v>
      </c>
    </row>
    <row r="11" spans="2:28" ht="12.75" customHeight="1" x14ac:dyDescent="0.3">
      <c r="B11" s="133">
        <v>6</v>
      </c>
      <c r="C11" s="134" t="s">
        <v>368</v>
      </c>
      <c r="D11" s="482">
        <f>IFERROR(VLOOKUP(C11,Tabla15[[Piloto]:[Puntos clase]],7, FALSE), " ")</f>
        <v>3</v>
      </c>
      <c r="E11" s="482" t="str">
        <f t="shared" si="9"/>
        <v>2</v>
      </c>
      <c r="F11" s="135">
        <f>IFERROR(VLOOKUP(C11,'01_RS ALCARRIA'!$D$6:$M$36,10,FALSE),"")</f>
        <v>10</v>
      </c>
      <c r="G11" s="135">
        <f>IFERROR(VLOOKUP(C11,'01_RS ALCARRIA'!$D$6:$O$36,12,FALSE),"")</f>
        <v>10</v>
      </c>
      <c r="H11" s="138">
        <f t="shared" si="1"/>
        <v>40</v>
      </c>
      <c r="I11" s="135">
        <f>IFERROR(VLOOKUP(C11,'02_TCT GUADAMUR'!$D$6:$M$36,10,FALSE),"")</f>
        <v>10</v>
      </c>
      <c r="J11" s="135">
        <f>IFERROR(VLOOKUP(C11,'02_TCT GUADAMUR'!$D$6:$O$36,12,FALSE),"")</f>
        <v>8</v>
      </c>
      <c r="K11" s="138">
        <f t="shared" si="2"/>
        <v>18</v>
      </c>
      <c r="L11" s="135">
        <f>IFERROR(VLOOKUP(C11,'03_TCT MAQUEDA'!$D$6:$M$36,10,FALSE),"")</f>
        <v>8</v>
      </c>
      <c r="M11" s="135">
        <f>IFERROR(VLOOKUP(C11,'03_TCT MAQUEDA'!$D$6:$O$36,12,FALSE),"")</f>
        <v>10</v>
      </c>
      <c r="N11" s="138">
        <f t="shared" si="3"/>
        <v>18</v>
      </c>
      <c r="O11" s="135">
        <f>IFERROR(VLOOKUP(C11,'04_RALLYE CAM'!$D$6:$M$36,10,FALSE),"")</f>
        <v>5</v>
      </c>
      <c r="P11" s="135">
        <f>IFERROR(VLOOKUP(C11,'04_RALLYE CAM'!$D$6:$O$36,12,FALSE),"")</f>
        <v>10</v>
      </c>
      <c r="Q11" s="138">
        <f t="shared" si="4"/>
        <v>45</v>
      </c>
      <c r="R11" s="135">
        <f>IFERROR(VLOOKUP(C11,'05_RS NAVALCARNERO'!$D$6:$M$28,10,FALSE),"")</f>
        <v>8</v>
      </c>
      <c r="S11" s="135">
        <f>IFERROR(VLOOKUP(C11,'05_RS NAVALCARNERO'!$D$6:$O$28,12,FALSE),"")</f>
        <v>8</v>
      </c>
      <c r="T11" s="138">
        <f t="shared" si="5"/>
        <v>32</v>
      </c>
      <c r="U11" s="135">
        <f>IFERROR(VLOOKUP(C11,'06_TCT NUEVO BAZTÁN'!$D$6:$M$28,10,FALSE),"")</f>
        <v>8</v>
      </c>
      <c r="V11" s="135">
        <f>IFERROR(VLOOKUP(C11,'06_TCT NUEVO BAZTÁN'!$D$6:$O$28,12,FALSE),"")</f>
        <v>8</v>
      </c>
      <c r="W11" s="138">
        <f t="shared" si="0"/>
        <v>16</v>
      </c>
      <c r="X11" s="139">
        <f t="shared" si="6"/>
        <v>169</v>
      </c>
      <c r="Y11" s="140" t="str">
        <f t="shared" si="7"/>
        <v>Sí</v>
      </c>
      <c r="Z11" s="141">
        <f t="shared" si="8"/>
        <v>6</v>
      </c>
      <c r="AB11" s="261" t="str">
        <f>IFERROR(VLOOKUP(C11,Tabla15[[Piloto]:[Puntos clase]],6, FALSE), " ")</f>
        <v>2RM</v>
      </c>
    </row>
    <row r="12" spans="2:28" ht="12.75" customHeight="1" x14ac:dyDescent="0.3">
      <c r="B12" s="133">
        <v>7</v>
      </c>
      <c r="C12" s="142" t="s">
        <v>592</v>
      </c>
      <c r="D12" s="482">
        <f>IFERROR(VLOOKUP(C12,Tabla15[[Piloto]:[Puntos clase]],7, FALSE), " ")</f>
        <v>3</v>
      </c>
      <c r="E12" s="482" t="str">
        <f t="shared" si="9"/>
        <v>2</v>
      </c>
      <c r="F12" s="135">
        <f>IFERROR(VLOOKUP(C12,'01_RS ALCARRIA'!$D$6:$M$36,10,FALSE),"")</f>
        <v>8</v>
      </c>
      <c r="G12" s="135">
        <f>IFERROR(VLOOKUP(C12,'01_RS ALCARRIA'!$D$6:$O$36,12,FALSE),"")</f>
        <v>8</v>
      </c>
      <c r="H12" s="138">
        <f t="shared" si="1"/>
        <v>32</v>
      </c>
      <c r="I12" s="135" t="str">
        <f>IFERROR(VLOOKUP(C12,'02_TCT GUADAMUR'!$D$6:$M$36,10,FALSE),"")</f>
        <v/>
      </c>
      <c r="J12" s="135" t="str">
        <f>IFERROR(VLOOKUP(C12,'02_TCT GUADAMUR'!$D$6:$O$36,12,FALSE),"")</f>
        <v/>
      </c>
      <c r="K12" s="138" t="e">
        <f t="shared" si="2"/>
        <v>#VALUE!</v>
      </c>
      <c r="L12" s="135" t="str">
        <f>IFERROR(VLOOKUP(C12,'03_TCT MAQUEDA'!$D$6:$M$36,10,FALSE),"")</f>
        <v/>
      </c>
      <c r="M12" s="135" t="str">
        <f>IFERROR(VLOOKUP(C12,'03_TCT MAQUEDA'!$D$6:$O$36,12,FALSE),"")</f>
        <v/>
      </c>
      <c r="N12" s="138" t="e">
        <f t="shared" si="3"/>
        <v>#VALUE!</v>
      </c>
      <c r="O12" s="135">
        <v>0</v>
      </c>
      <c r="P12" s="135">
        <v>0</v>
      </c>
      <c r="Q12" s="138">
        <f t="shared" si="4"/>
        <v>0</v>
      </c>
      <c r="R12" s="135" t="str">
        <f>IFERROR(VLOOKUP(C12,'05_RS NAVALCARNERO'!$D$6:$M$28,10,FALSE),"")</f>
        <v/>
      </c>
      <c r="S12" s="135" t="str">
        <f>IFERROR(VLOOKUP(C12,'05_RS NAVALCARNERO'!$D$6:$O$28,12,FALSE),"")</f>
        <v/>
      </c>
      <c r="T12" s="138" t="e">
        <f t="shared" si="5"/>
        <v>#VALUE!</v>
      </c>
      <c r="U12" s="135" t="str">
        <f>IFERROR(VLOOKUP(C12,'06_TCT NUEVO BAZTÁN'!$D$6:$M$28,10,FALSE),"")</f>
        <v/>
      </c>
      <c r="V12" s="135" t="str">
        <f>IFERROR(VLOOKUP(C12,'06_TCT NUEVO BAZTÁN'!$D$6:$O$28,12,FALSE),"")</f>
        <v/>
      </c>
      <c r="W12" s="138" t="e">
        <f t="shared" si="0"/>
        <v>#VALUE!</v>
      </c>
      <c r="X12" s="139" t="e">
        <f t="shared" si="6"/>
        <v>#VALUE!</v>
      </c>
      <c r="Y12" s="140" t="str">
        <f t="shared" si="7"/>
        <v>Sí</v>
      </c>
      <c r="Z12" s="141">
        <f t="shared" si="8"/>
        <v>6</v>
      </c>
      <c r="AB12" s="261" t="str">
        <f>IFERROR(VLOOKUP(C12,Tabla15[[Piloto]:[Puntos clase]],6, FALSE), " ")</f>
        <v>2RM</v>
      </c>
    </row>
    <row r="13" spans="2:28" ht="12.75" customHeight="1" x14ac:dyDescent="0.3">
      <c r="B13" s="133">
        <v>8</v>
      </c>
      <c r="C13" s="142" t="s">
        <v>593</v>
      </c>
      <c r="D13" s="482">
        <f>IFERROR(VLOOKUP(C13,Tabla15[[Piloto]:[Puntos clase]],7, FALSE), " ")</f>
        <v>3</v>
      </c>
      <c r="E13" s="482" t="str">
        <f t="shared" si="9"/>
        <v>2</v>
      </c>
      <c r="F13" s="135">
        <f>IFERROR(VLOOKUP(C13,'01_RS ALCARRIA'!$D$6:$M$36,10,FALSE),"")</f>
        <v>6</v>
      </c>
      <c r="G13" s="135">
        <f>IFERROR(VLOOKUP(C13,'01_RS ALCARRIA'!$D$6:$O$36,12,FALSE),"")</f>
        <v>6</v>
      </c>
      <c r="H13" s="138">
        <f t="shared" si="1"/>
        <v>24</v>
      </c>
      <c r="I13" s="135" t="str">
        <f>IFERROR(VLOOKUP(C13,'02_TCT GUADAMUR'!$D$6:$M$36,10,FALSE),"")</f>
        <v/>
      </c>
      <c r="J13" s="135" t="str">
        <f>IFERROR(VLOOKUP(C13,'02_TCT GUADAMUR'!$D$6:$O$36,12,FALSE),"")</f>
        <v/>
      </c>
      <c r="K13" s="138" t="e">
        <f t="shared" si="2"/>
        <v>#VALUE!</v>
      </c>
      <c r="L13" s="135">
        <v>0</v>
      </c>
      <c r="M13" s="135">
        <v>0</v>
      </c>
      <c r="N13" s="138">
        <f t="shared" si="3"/>
        <v>0</v>
      </c>
      <c r="O13" s="135" t="str">
        <f>IFERROR(VLOOKUP(C13,'04_RALLYE CAM'!$D$6:$M$36,10,FALSE),"")</f>
        <v/>
      </c>
      <c r="P13" s="135" t="str">
        <f>IFERROR(VLOOKUP(C13,'04_RALLYE CAM'!$D$6:$O$36,12,FALSE),"")</f>
        <v/>
      </c>
      <c r="Q13" s="138" t="e">
        <f t="shared" si="4"/>
        <v>#VALUE!</v>
      </c>
      <c r="R13" s="135" t="str">
        <f>IFERROR(VLOOKUP(C13,'05_RS NAVALCARNERO'!$D$6:$M$28,10,FALSE),"")</f>
        <v/>
      </c>
      <c r="S13" s="135" t="str">
        <f>IFERROR(VLOOKUP(C13,'05_RS NAVALCARNERO'!$D$6:$O$28,12,FALSE),"")</f>
        <v/>
      </c>
      <c r="T13" s="138" t="e">
        <f t="shared" si="5"/>
        <v>#VALUE!</v>
      </c>
      <c r="U13" s="135" t="str">
        <f>IFERROR(VLOOKUP(C13,'06_TCT NUEVO BAZTÁN'!$D$6:$M$28,10,FALSE),"")</f>
        <v/>
      </c>
      <c r="V13" s="135" t="str">
        <f>IFERROR(VLOOKUP(C13,'06_TCT NUEVO BAZTÁN'!$D$6:$O$28,12,FALSE),"")</f>
        <v/>
      </c>
      <c r="W13" s="138" t="e">
        <f t="shared" si="0"/>
        <v>#VALUE!</v>
      </c>
      <c r="X13" s="139" t="e">
        <f t="shared" si="6"/>
        <v>#VALUE!</v>
      </c>
      <c r="Y13" s="140" t="str">
        <f t="shared" si="7"/>
        <v>Sí</v>
      </c>
      <c r="Z13" s="141">
        <f t="shared" si="8"/>
        <v>6</v>
      </c>
      <c r="AB13" s="261" t="str">
        <f>IFERROR(VLOOKUP(C13,Tabla15[[Piloto]:[Puntos clase]],6, FALSE), " ")</f>
        <v>2RM</v>
      </c>
    </row>
    <row r="14" spans="2:28" ht="12.75" customHeight="1" x14ac:dyDescent="0.3">
      <c r="B14" s="133">
        <v>9</v>
      </c>
      <c r="C14" s="155" t="s">
        <v>595</v>
      </c>
      <c r="D14" s="482">
        <f>IFERROR(VLOOKUP(C14,Tabla15[[Piloto]:[Puntos clase]],7, FALSE), " ")</f>
        <v>3</v>
      </c>
      <c r="E14" s="482" t="str">
        <f t="shared" si="9"/>
        <v>2</v>
      </c>
      <c r="F14" s="135">
        <f>IFERROR(VLOOKUP(C14,'01_RS ALCARRIA'!$D$6:$M$36,10,FALSE),"")</f>
        <v>5</v>
      </c>
      <c r="G14" s="135">
        <f>IFERROR(VLOOKUP(C14,'01_RS ALCARRIA'!$D$6:$O$36,12,FALSE),"")</f>
        <v>5</v>
      </c>
      <c r="H14" s="138">
        <f t="shared" si="1"/>
        <v>20</v>
      </c>
      <c r="I14" s="135">
        <f>IFERROR(VLOOKUP(C14,'02_TCT GUADAMUR'!$D$6:$M$36,10,FALSE),"")</f>
        <v>3</v>
      </c>
      <c r="J14" s="135">
        <f>IFERROR(VLOOKUP(C14,'02_TCT GUADAMUR'!$D$6:$O$36,12,FALSE),"")</f>
        <v>5</v>
      </c>
      <c r="K14" s="138">
        <f t="shared" si="2"/>
        <v>8</v>
      </c>
      <c r="L14" s="135">
        <f>IFERROR(VLOOKUP(C14,'03_TCT MAQUEDA'!$D$6:$M$36,10,FALSE),"")</f>
        <v>2</v>
      </c>
      <c r="M14" s="135">
        <f>IFERROR(VLOOKUP(C14,'03_TCT MAQUEDA'!$D$6:$O$36,12,FALSE),"")</f>
        <v>6</v>
      </c>
      <c r="N14" s="138">
        <f t="shared" si="3"/>
        <v>8</v>
      </c>
      <c r="O14" s="135" t="str">
        <f>IFERROR(VLOOKUP(C14,'04_RALLYE CAM'!$D$6:$M$36,10,FALSE),"")</f>
        <v/>
      </c>
      <c r="P14" s="135" t="str">
        <f>IFERROR(VLOOKUP(C14,'04_RALLYE CAM'!$D$6:$O$36,12,FALSE),"")</f>
        <v/>
      </c>
      <c r="Q14" s="138" t="e">
        <f t="shared" si="4"/>
        <v>#VALUE!</v>
      </c>
      <c r="R14" s="135" t="str">
        <f>IFERROR(VLOOKUP(C14,'05_RS NAVALCARNERO'!$D$6:$M$28,10,FALSE),"")</f>
        <v/>
      </c>
      <c r="S14" s="135" t="str">
        <f>IFERROR(VLOOKUP(C14,'05_RS NAVALCARNERO'!$D$6:$O$28,12,FALSE),"")</f>
        <v/>
      </c>
      <c r="T14" s="138" t="e">
        <f t="shared" si="5"/>
        <v>#VALUE!</v>
      </c>
      <c r="U14" s="135" t="str">
        <f>IFERROR(VLOOKUP(C14,'06_TCT NUEVO BAZTÁN'!$D$6:$M$28,10,FALSE),"")</f>
        <v/>
      </c>
      <c r="V14" s="135" t="str">
        <f>IFERROR(VLOOKUP(C14,'06_TCT NUEVO BAZTÁN'!$D$6:$O$28,12,FALSE),"")</f>
        <v/>
      </c>
      <c r="W14" s="138" t="e">
        <f t="shared" si="0"/>
        <v>#VALUE!</v>
      </c>
      <c r="X14" s="139" t="e">
        <f t="shared" si="6"/>
        <v>#VALUE!</v>
      </c>
      <c r="Y14" s="140" t="str">
        <f t="shared" si="7"/>
        <v>Sí</v>
      </c>
      <c r="Z14" s="141">
        <f t="shared" si="8"/>
        <v>6</v>
      </c>
      <c r="AB14" s="261" t="str">
        <f>IFERROR(VLOOKUP(C14,Tabla15[[Piloto]:[Puntos clase]],6, FALSE), " ")</f>
        <v>2RM</v>
      </c>
    </row>
    <row r="15" spans="2:28" ht="12.75" customHeight="1" x14ac:dyDescent="0.3">
      <c r="B15" s="133">
        <v>10</v>
      </c>
      <c r="C15" s="142" t="s">
        <v>597</v>
      </c>
      <c r="D15" s="482">
        <f>IFERROR(VLOOKUP(C15,Tabla15[[Piloto]:[Puntos clase]],7, FALSE), " ")</f>
        <v>5</v>
      </c>
      <c r="E15" s="482" t="str">
        <f t="shared" si="9"/>
        <v>2</v>
      </c>
      <c r="F15" s="135">
        <f>IFERROR(VLOOKUP(C15,'01_RS ALCARRIA'!$D$6:$M$36,10,FALSE),"")</f>
        <v>4</v>
      </c>
      <c r="G15" s="135">
        <f>IFERROR(VLOOKUP(C15,'01_RS ALCARRIA'!$D$6:$O$36,12,FALSE),"")</f>
        <v>10</v>
      </c>
      <c r="H15" s="138">
        <f t="shared" si="1"/>
        <v>28</v>
      </c>
      <c r="I15" s="135">
        <f>IFERROR(VLOOKUP(C15,'02_TCT GUADAMUR'!$D$6:$M$36,10,FALSE),"")</f>
        <v>8</v>
      </c>
      <c r="J15" s="135">
        <f>IFERROR(VLOOKUP(C15,'02_TCT GUADAMUR'!$D$6:$O$36,12,FALSE),"")</f>
        <v>10</v>
      </c>
      <c r="K15" s="138">
        <f t="shared" si="2"/>
        <v>18</v>
      </c>
      <c r="L15" s="135" t="str">
        <f>IFERROR(VLOOKUP(C15,'03_TCT MAQUEDA'!$D$6:$M$36,10,FALSE),"")</f>
        <v/>
      </c>
      <c r="M15" s="135" t="str">
        <f>IFERROR(VLOOKUP(C15,'03_TCT MAQUEDA'!$D$6:$O$36,12,FALSE),"")</f>
        <v/>
      </c>
      <c r="N15" s="138" t="e">
        <f t="shared" si="3"/>
        <v>#VALUE!</v>
      </c>
      <c r="O15" s="135" t="str">
        <f>IFERROR(VLOOKUP(C15,'04_RALLYE CAM'!$D$6:$M$36,10,FALSE),"")</f>
        <v/>
      </c>
      <c r="P15" s="135" t="str">
        <f>IFERROR(VLOOKUP(C15,'04_RALLYE CAM'!$D$6:$O$36,12,FALSE),"")</f>
        <v/>
      </c>
      <c r="Q15" s="138" t="e">
        <f t="shared" si="4"/>
        <v>#VALUE!</v>
      </c>
      <c r="R15" s="135" t="str">
        <f>IFERROR(VLOOKUP(C15,'05_RS NAVALCARNERO'!$D$6:$M$28,10,FALSE),"")</f>
        <v/>
      </c>
      <c r="S15" s="135" t="str">
        <f>IFERROR(VLOOKUP(C15,'05_RS NAVALCARNERO'!$D$6:$O$28,12,FALSE),"")</f>
        <v/>
      </c>
      <c r="T15" s="138" t="e">
        <f t="shared" si="5"/>
        <v>#VALUE!</v>
      </c>
      <c r="U15" s="135" t="str">
        <f>IFERROR(VLOOKUP(C15,'06_TCT NUEVO BAZTÁN'!$D$6:$M$28,10,FALSE),"")</f>
        <v/>
      </c>
      <c r="V15" s="135" t="str">
        <f>IFERROR(VLOOKUP(C15,'06_TCT NUEVO BAZTÁN'!$D$6:$O$28,12,FALSE),"")</f>
        <v/>
      </c>
      <c r="W15" s="138" t="e">
        <f t="shared" si="0"/>
        <v>#VALUE!</v>
      </c>
      <c r="X15" s="139" t="e">
        <f t="shared" si="6"/>
        <v>#VALUE!</v>
      </c>
      <c r="Y15" s="140" t="str">
        <f t="shared" si="7"/>
        <v>Sí</v>
      </c>
      <c r="Z15" s="141">
        <f t="shared" si="8"/>
        <v>6</v>
      </c>
      <c r="AB15" s="261" t="str">
        <f>IFERROR(VLOOKUP(C15,Tabla15[[Piloto]:[Puntos clase]],6, FALSE), " ")</f>
        <v>2RM</v>
      </c>
    </row>
    <row r="16" spans="2:28" ht="12.75" customHeight="1" x14ac:dyDescent="0.3">
      <c r="B16" s="133">
        <v>11</v>
      </c>
      <c r="C16" s="142" t="s">
        <v>283</v>
      </c>
      <c r="D16" s="482">
        <f>IFERROR(VLOOKUP(C16,Tabla15[[Piloto]:[Puntos clase]],7, FALSE), " ")</f>
        <v>4</v>
      </c>
      <c r="E16" s="482" t="str">
        <f t="shared" si="9"/>
        <v>2</v>
      </c>
      <c r="F16" s="135">
        <f>IFERROR(VLOOKUP(C16,'01_RS ALCARRIA'!$D$6:$M$36,10,FALSE),"")</f>
        <v>3</v>
      </c>
      <c r="G16" s="135">
        <f>IFERROR(VLOOKUP(C16,'01_RS ALCARRIA'!$D$6:$O$36,12,FALSE),"")</f>
        <v>10</v>
      </c>
      <c r="H16" s="138">
        <f t="shared" si="1"/>
        <v>26</v>
      </c>
      <c r="I16" s="135">
        <f>IFERROR(VLOOKUP(C16,'02_TCT GUADAMUR'!$D$6:$M$36,10,FALSE),"")</f>
        <v>6</v>
      </c>
      <c r="J16" s="135">
        <f>IFERROR(VLOOKUP(C16,'02_TCT GUADAMUR'!$D$6:$O$36,12,FALSE),"")</f>
        <v>10</v>
      </c>
      <c r="K16" s="138">
        <f t="shared" si="2"/>
        <v>16</v>
      </c>
      <c r="L16" s="135" t="str">
        <f>IFERROR(VLOOKUP(C16,'03_TCT MAQUEDA'!$D$6:$M$36,10,FALSE),"")</f>
        <v/>
      </c>
      <c r="M16" s="135" t="str">
        <f>IFERROR(VLOOKUP(C16,'03_TCT MAQUEDA'!$D$6:$O$36,12,FALSE),"")</f>
        <v/>
      </c>
      <c r="N16" s="138" t="e">
        <f t="shared" si="3"/>
        <v>#VALUE!</v>
      </c>
      <c r="O16" s="135">
        <f>IFERROR(VLOOKUP(C16,'04_RALLYE CAM'!$D$6:$M$36,10,FALSE),"")</f>
        <v>4</v>
      </c>
      <c r="P16" s="135">
        <f>IFERROR(VLOOKUP(C16,'04_RALLYE CAM'!$D$6:$O$36,12,FALSE),"")</f>
        <v>10</v>
      </c>
      <c r="Q16" s="138">
        <f t="shared" si="4"/>
        <v>42</v>
      </c>
      <c r="R16" s="135">
        <f>IFERROR(VLOOKUP(C16,'05_RS NAVALCARNERO'!$D$6:$M$28,10,FALSE),"")</f>
        <v>2</v>
      </c>
      <c r="S16" s="135">
        <f>IFERROR(VLOOKUP(C16,'05_RS NAVALCARNERO'!$D$6:$O$28,12,FALSE),"")</f>
        <v>10</v>
      </c>
      <c r="T16" s="138">
        <f t="shared" si="5"/>
        <v>24</v>
      </c>
      <c r="U16" s="135">
        <f>IFERROR(VLOOKUP(C16,'06_TCT NUEVO BAZTÁN'!$D$6:$M$28,10,FALSE),"")</f>
        <v>2</v>
      </c>
      <c r="V16" s="135">
        <f>IFERROR(VLOOKUP(C16,'06_TCT NUEVO BAZTÁN'!$D$6:$O$28,12,FALSE),"")</f>
        <v>10</v>
      </c>
      <c r="W16" s="138">
        <f t="shared" si="0"/>
        <v>12</v>
      </c>
      <c r="X16" s="139" t="e">
        <f t="shared" si="6"/>
        <v>#VALUE!</v>
      </c>
      <c r="Y16" s="140" t="str">
        <f t="shared" si="7"/>
        <v>Sí</v>
      </c>
      <c r="Z16" s="141">
        <f t="shared" si="8"/>
        <v>6</v>
      </c>
      <c r="AB16" s="261" t="str">
        <f>IFERROR(VLOOKUP(C16,Tabla15[[Piloto]:[Puntos clase]],6, FALSE), " ")</f>
        <v>2RM</v>
      </c>
    </row>
    <row r="17" spans="2:28" ht="12.75" customHeight="1" x14ac:dyDescent="0.3">
      <c r="B17" s="133">
        <v>12</v>
      </c>
      <c r="C17" s="142" t="s">
        <v>332</v>
      </c>
      <c r="D17" s="482">
        <f>IFERROR(VLOOKUP(C17,Tabla15[[Piloto]:[Puntos clase]],7, FALSE), " ")</f>
        <v>4</v>
      </c>
      <c r="E17" s="482" t="str">
        <f t="shared" si="9"/>
        <v>2</v>
      </c>
      <c r="F17" s="135">
        <f>IFERROR(VLOOKUP(C17,'01_RS ALCARRIA'!$D$6:$M$36,10,FALSE),"")</f>
        <v>2</v>
      </c>
      <c r="G17" s="135">
        <f>IFERROR(VLOOKUP(C17,'01_RS ALCARRIA'!$D$6:$O$36,12,FALSE),"")</f>
        <v>8</v>
      </c>
      <c r="H17" s="138">
        <f t="shared" si="1"/>
        <v>20</v>
      </c>
      <c r="I17" s="135">
        <f>IFERROR(VLOOKUP(C17,'02_TCT GUADAMUR'!$D$6:$M$36,10,FALSE),"")</f>
        <v>1</v>
      </c>
      <c r="J17" s="135">
        <f>IFERROR(VLOOKUP(C17,'02_TCT GUADAMUR'!$D$6:$O$36,12,FALSE),"")</f>
        <v>8</v>
      </c>
      <c r="K17" s="138">
        <f t="shared" si="2"/>
        <v>9</v>
      </c>
      <c r="L17" s="135">
        <f>IFERROR(VLOOKUP(C17,'03_TCT MAQUEDA'!$D$6:$M$36,10,FALSE),"")</f>
        <v>5</v>
      </c>
      <c r="M17" s="135">
        <f>IFERROR(VLOOKUP(C17,'03_TCT MAQUEDA'!$D$6:$O$36,12,FALSE),"")</f>
        <v>8</v>
      </c>
      <c r="N17" s="138">
        <f t="shared" si="3"/>
        <v>13</v>
      </c>
      <c r="O17" s="135" t="str">
        <f>IFERROR(VLOOKUP(C17,'04_RALLYE CAM'!$D$6:$M$36,10,FALSE),"")</f>
        <v/>
      </c>
      <c r="P17" s="135" t="str">
        <f>IFERROR(VLOOKUP(C17,'04_RALLYE CAM'!$D$6:$O$36,12,FALSE),"")</f>
        <v/>
      </c>
      <c r="Q17" s="138" t="e">
        <f t="shared" si="4"/>
        <v>#VALUE!</v>
      </c>
      <c r="R17" s="135" t="str">
        <f>IFERROR(VLOOKUP(C17,'05_RS NAVALCARNERO'!$D$6:$M$28,10,FALSE),"")</f>
        <v/>
      </c>
      <c r="S17" s="135" t="str">
        <f>IFERROR(VLOOKUP(C17,'05_RS NAVALCARNERO'!$D$6:$O$28,12,FALSE),"")</f>
        <v/>
      </c>
      <c r="T17" s="138" t="e">
        <f t="shared" si="5"/>
        <v>#VALUE!</v>
      </c>
      <c r="U17" s="135" t="str">
        <f>IFERROR(VLOOKUP(C17,'06_TCT NUEVO BAZTÁN'!$D$6:$M$28,10,FALSE),"")</f>
        <v/>
      </c>
      <c r="V17" s="135" t="str">
        <f>IFERROR(VLOOKUP(C17,'06_TCT NUEVO BAZTÁN'!$D$6:$O$28,12,FALSE),"")</f>
        <v/>
      </c>
      <c r="W17" s="138" t="e">
        <f t="shared" si="0"/>
        <v>#VALUE!</v>
      </c>
      <c r="X17" s="139" t="e">
        <f t="shared" si="6"/>
        <v>#VALUE!</v>
      </c>
      <c r="Y17" s="140" t="str">
        <f t="shared" si="7"/>
        <v>Sí</v>
      </c>
      <c r="Z17" s="141">
        <f t="shared" si="8"/>
        <v>6</v>
      </c>
      <c r="AB17" s="261" t="str">
        <f>IFERROR(VLOOKUP(C17,Tabla15[[Piloto]:[Puntos clase]],6, FALSE), " ")</f>
        <v>2RM</v>
      </c>
    </row>
    <row r="18" spans="2:28" ht="12.75" customHeight="1" x14ac:dyDescent="0.3">
      <c r="B18" s="133">
        <v>13</v>
      </c>
      <c r="C18" s="142" t="s">
        <v>601</v>
      </c>
      <c r="D18" s="482">
        <f>IFERROR(VLOOKUP(C18,Tabla15[[Piloto]:[Puntos clase]],7, FALSE), " ")</f>
        <v>3</v>
      </c>
      <c r="E18" s="482" t="str">
        <f t="shared" si="9"/>
        <v>2</v>
      </c>
      <c r="F18" s="135">
        <f>IFERROR(VLOOKUP(C18,'01_RS ALCARRIA'!$D$6:$M$36,10,FALSE),"")</f>
        <v>1</v>
      </c>
      <c r="G18" s="135">
        <f>IFERROR(VLOOKUP(C18,'01_RS ALCARRIA'!$D$6:$O$36,12,FALSE),"")</f>
        <v>3</v>
      </c>
      <c r="H18" s="138">
        <f t="shared" si="1"/>
        <v>8</v>
      </c>
      <c r="I18" s="135" t="str">
        <f>IFERROR(VLOOKUP(C18,'02_TCT GUADAMUR'!$D$6:$M$36,10,FALSE),"")</f>
        <v/>
      </c>
      <c r="J18" s="135" t="str">
        <f>IFERROR(VLOOKUP(C18,'02_TCT GUADAMUR'!$D$6:$O$36,12,FALSE),"")</f>
        <v/>
      </c>
      <c r="K18" s="138" t="e">
        <f t="shared" si="2"/>
        <v>#VALUE!</v>
      </c>
      <c r="L18" s="135" t="str">
        <f>IFERROR(VLOOKUP(C18,'03_TCT MAQUEDA'!$D$6:$M$36,10,FALSE),"")</f>
        <v/>
      </c>
      <c r="M18" s="135" t="str">
        <f>IFERROR(VLOOKUP(C18,'03_TCT MAQUEDA'!$D$6:$O$36,12,FALSE),"")</f>
        <v/>
      </c>
      <c r="N18" s="138" t="e">
        <f t="shared" si="3"/>
        <v>#VALUE!</v>
      </c>
      <c r="O18" s="135" t="str">
        <f>IFERROR(VLOOKUP(C18,'04_RALLYE CAM'!$D$6:$M$36,10,FALSE),"")</f>
        <v/>
      </c>
      <c r="P18" s="135" t="str">
        <f>IFERROR(VLOOKUP(C18,'04_RALLYE CAM'!$D$6:$O$36,12,FALSE),"")</f>
        <v/>
      </c>
      <c r="Q18" s="138" t="e">
        <f t="shared" si="4"/>
        <v>#VALUE!</v>
      </c>
      <c r="R18" s="135" t="str">
        <f>IFERROR(VLOOKUP(C18,'05_RS NAVALCARNERO'!$D$6:$M$28,10,FALSE),"")</f>
        <v/>
      </c>
      <c r="S18" s="135" t="str">
        <f>IFERROR(VLOOKUP(C18,'05_RS NAVALCARNERO'!$D$6:$O$28,12,FALSE),"")</f>
        <v/>
      </c>
      <c r="T18" s="138" t="e">
        <f t="shared" si="5"/>
        <v>#VALUE!</v>
      </c>
      <c r="U18" s="135" t="str">
        <f>IFERROR(VLOOKUP(C18,'06_TCT NUEVO BAZTÁN'!$D$6:$M$28,10,FALSE),"")</f>
        <v/>
      </c>
      <c r="V18" s="135" t="str">
        <f>IFERROR(VLOOKUP(C18,'06_TCT NUEVO BAZTÁN'!$D$6:$O$28,12,FALSE),"")</f>
        <v/>
      </c>
      <c r="W18" s="138" t="e">
        <f t="shared" si="0"/>
        <v>#VALUE!</v>
      </c>
      <c r="X18" s="139" t="e">
        <f t="shared" si="6"/>
        <v>#VALUE!</v>
      </c>
      <c r="Y18" s="140" t="str">
        <f t="shared" si="7"/>
        <v>Sí</v>
      </c>
      <c r="Z18" s="141">
        <f t="shared" si="8"/>
        <v>6</v>
      </c>
      <c r="AB18" s="261" t="str">
        <f>IFERROR(VLOOKUP(C18,Tabla15[[Piloto]:[Puntos clase]],6, FALSE), " ")</f>
        <v>2RM</v>
      </c>
    </row>
    <row r="19" spans="2:28" ht="12.75" customHeight="1" x14ac:dyDescent="0.3">
      <c r="B19" s="133">
        <v>14</v>
      </c>
      <c r="C19" s="142" t="s">
        <v>604</v>
      </c>
      <c r="D19" s="482">
        <f>IFERROR(VLOOKUP(C19,Tabla15[[Piloto]:[Puntos clase]],7, FALSE), " ")</f>
        <v>3</v>
      </c>
      <c r="E19" s="482" t="str">
        <f t="shared" si="9"/>
        <v>2</v>
      </c>
      <c r="F19" s="135">
        <f>IFERROR(VLOOKUP(C19,'01_RS ALCARRIA'!$D$6:$M$36,10,FALSE),"")</f>
        <v>0</v>
      </c>
      <c r="G19" s="135">
        <f>IFERROR(VLOOKUP(C19,'01_RS ALCARRIA'!$D$6:$O$36,12,FALSE),"")</f>
        <v>1</v>
      </c>
      <c r="H19" s="138">
        <f t="shared" si="1"/>
        <v>2</v>
      </c>
      <c r="I19" s="135">
        <f>IFERROR(VLOOKUP(C19,'02_TCT GUADAMUR'!$D$6:$M$36,10,FALSE),"")</f>
        <v>0</v>
      </c>
      <c r="J19" s="135">
        <f>IFERROR(VLOOKUP(C19,'02_TCT GUADAMUR'!$D$6:$O$36,12,FALSE),"")</f>
        <v>0</v>
      </c>
      <c r="K19" s="138">
        <f t="shared" si="2"/>
        <v>0</v>
      </c>
      <c r="L19" s="135">
        <v>0</v>
      </c>
      <c r="M19" s="135">
        <v>0</v>
      </c>
      <c r="N19" s="138">
        <f t="shared" si="3"/>
        <v>0</v>
      </c>
      <c r="O19" s="135" t="str">
        <f>IFERROR(VLOOKUP(C19,'04_RALLYE CAM'!$D$6:$M$36,10,FALSE),"")</f>
        <v/>
      </c>
      <c r="P19" s="135" t="str">
        <f>IFERROR(VLOOKUP(C19,'04_RALLYE CAM'!$D$6:$O$36,12,FALSE),"")</f>
        <v/>
      </c>
      <c r="Q19" s="138" t="e">
        <f t="shared" si="4"/>
        <v>#VALUE!</v>
      </c>
      <c r="R19" s="135" t="str">
        <f>IFERROR(VLOOKUP(C19,'05_RS NAVALCARNERO'!$D$6:$M$28,10,FALSE),"")</f>
        <v/>
      </c>
      <c r="S19" s="135" t="str">
        <f>IFERROR(VLOOKUP(C19,'05_RS NAVALCARNERO'!$D$6:$O$28,12,FALSE),"")</f>
        <v/>
      </c>
      <c r="T19" s="138" t="e">
        <f t="shared" si="5"/>
        <v>#VALUE!</v>
      </c>
      <c r="U19" s="135" t="str">
        <f>IFERROR(VLOOKUP(C19,'06_TCT NUEVO BAZTÁN'!$D$6:$M$28,10,FALSE),"")</f>
        <v/>
      </c>
      <c r="V19" s="135" t="str">
        <f>IFERROR(VLOOKUP(C19,'06_TCT NUEVO BAZTÁN'!$D$6:$O$28,12,FALSE),"")</f>
        <v/>
      </c>
      <c r="W19" s="138" t="e">
        <f t="shared" si="0"/>
        <v>#VALUE!</v>
      </c>
      <c r="X19" s="139" t="e">
        <f t="shared" si="6"/>
        <v>#VALUE!</v>
      </c>
      <c r="Y19" s="140" t="str">
        <f t="shared" si="7"/>
        <v>Sí</v>
      </c>
      <c r="Z19" s="141">
        <f t="shared" si="8"/>
        <v>6</v>
      </c>
      <c r="AB19" s="261" t="str">
        <f>IFERROR(VLOOKUP(C19,Tabla15[[Piloto]:[Puntos clase]],6, FALSE), " ")</f>
        <v>2RM</v>
      </c>
    </row>
    <row r="20" spans="2:28" ht="12.75" customHeight="1" x14ac:dyDescent="0.3">
      <c r="B20" s="133">
        <v>14</v>
      </c>
      <c r="C20" s="142" t="s">
        <v>606</v>
      </c>
      <c r="D20" s="482">
        <v>3</v>
      </c>
      <c r="E20" s="482">
        <v>2</v>
      </c>
      <c r="F20" s="135">
        <f>IFERROR(VLOOKUP(C20,'01_RS ALCARRIA'!$D$6:$M$36,10,FALSE),"")</f>
        <v>0</v>
      </c>
      <c r="G20" s="135">
        <f>IFERROR(VLOOKUP(C20,'01_RS ALCARRIA'!$D$6:$O$36,12,FALSE),"")</f>
        <v>0</v>
      </c>
      <c r="H20" s="138">
        <f t="shared" si="1"/>
        <v>0</v>
      </c>
      <c r="I20" s="135">
        <f>IFERROR(VLOOKUP(C20,'02_TCT GUADAMUR'!$D$6:$M$36,10,FALSE),"")</f>
        <v>2</v>
      </c>
      <c r="J20" s="135">
        <f>IFERROR(VLOOKUP(C20,'02_TCT GUADAMUR'!$D$6:$O$36,12,FALSE),"")</f>
        <v>3</v>
      </c>
      <c r="K20" s="138">
        <f t="shared" si="2"/>
        <v>5</v>
      </c>
      <c r="L20" s="135" t="str">
        <f>IFERROR(VLOOKUP(C20,'03_TCT MAQUEDA'!$D$6:$M$36,10,FALSE),"")</f>
        <v/>
      </c>
      <c r="M20" s="135" t="str">
        <f>IFERROR(VLOOKUP(C20,'03_TCT MAQUEDA'!$D$6:$O$36,12,FALSE),"")</f>
        <v/>
      </c>
      <c r="N20" s="138" t="e">
        <f t="shared" si="3"/>
        <v>#VALUE!</v>
      </c>
      <c r="O20" s="135" t="str">
        <f>IFERROR(VLOOKUP(C20,'04_RALLYE CAM'!$D$6:$M$36,10,FALSE),"")</f>
        <v/>
      </c>
      <c r="P20" s="135" t="str">
        <f>IFERROR(VLOOKUP(C20,'04_RALLYE CAM'!$D$6:$O$36,12,FALSE),"")</f>
        <v/>
      </c>
      <c r="Q20" s="138" t="e">
        <f t="shared" si="4"/>
        <v>#VALUE!</v>
      </c>
      <c r="R20" s="135" t="str">
        <f>IFERROR(VLOOKUP(C20,'05_RS NAVALCARNERO'!$D$6:$M$28,10,FALSE),"")</f>
        <v/>
      </c>
      <c r="S20" s="135" t="str">
        <f>IFERROR(VLOOKUP(C20,'05_RS NAVALCARNERO'!$D$6:$O$28,12,FALSE),"")</f>
        <v/>
      </c>
      <c r="T20" s="138" t="e">
        <f t="shared" si="5"/>
        <v>#VALUE!</v>
      </c>
      <c r="U20" s="135" t="str">
        <f>IFERROR(VLOOKUP(C20,'06_TCT NUEVO BAZTÁN'!$D$6:$M$28,10,FALSE),"")</f>
        <v/>
      </c>
      <c r="V20" s="135" t="str">
        <f>IFERROR(VLOOKUP(C20,'06_TCT NUEVO BAZTÁN'!$D$6:$O$28,12,FALSE),"")</f>
        <v/>
      </c>
      <c r="W20" s="138" t="e">
        <f t="shared" si="0"/>
        <v>#VALUE!</v>
      </c>
      <c r="X20" s="139" t="e">
        <f t="shared" si="6"/>
        <v>#VALUE!</v>
      </c>
      <c r="Y20" s="140" t="str">
        <f t="shared" si="7"/>
        <v>Sí</v>
      </c>
      <c r="Z20" s="141">
        <f t="shared" si="8"/>
        <v>6</v>
      </c>
      <c r="AB20" s="261" t="str">
        <f>IFERROR(VLOOKUP(C20,Tabla15[[Piloto]:[Puntos clase]],6, FALSE), " ")</f>
        <v>2RM</v>
      </c>
    </row>
    <row r="21" spans="2:28" ht="12.75" customHeight="1" x14ac:dyDescent="0.3">
      <c r="B21" s="133">
        <v>16</v>
      </c>
      <c r="C21" s="142" t="s">
        <v>607</v>
      </c>
      <c r="D21" s="482">
        <f>IFERROR(VLOOKUP(C21,Tabla15[[Piloto]:[Puntos clase]],7, FALSE), " ")</f>
        <v>3</v>
      </c>
      <c r="E21" s="482" t="str">
        <f>LEFT(AB21,LEN(AB21)-2)</f>
        <v>2</v>
      </c>
      <c r="F21" s="135">
        <f>IFERROR(VLOOKUP(C21,'01_RS ALCARRIA'!$D$6:$M$36,10,FALSE),"")</f>
        <v>0</v>
      </c>
      <c r="G21" s="135">
        <f>IFERROR(VLOOKUP(C21,'01_RS ALCARRIA'!$D$6:$O$36,12,FALSE),"")</f>
        <v>0</v>
      </c>
      <c r="H21" s="138">
        <f t="shared" si="1"/>
        <v>0</v>
      </c>
      <c r="I21" s="135">
        <f>IFERROR(VLOOKUP(C21,'02_TCT GUADAMUR'!$D$6:$M$36,10,FALSE),"")</f>
        <v>0</v>
      </c>
      <c r="J21" s="135">
        <f>IFERROR(VLOOKUP(C21,'02_TCT GUADAMUR'!$D$6:$O$36,12,FALSE),"")</f>
        <v>0</v>
      </c>
      <c r="K21" s="138">
        <f t="shared" si="2"/>
        <v>0</v>
      </c>
      <c r="L21" s="135">
        <f>IFERROR(VLOOKUP(C21,'03_TCT MAQUEDA'!$D$6:$M$36,10,FALSE),"")</f>
        <v>0</v>
      </c>
      <c r="M21" s="135">
        <f>IFERROR(VLOOKUP(C21,'03_TCT MAQUEDA'!$D$6:$O$36,12,FALSE),"")</f>
        <v>3</v>
      </c>
      <c r="N21" s="138">
        <f t="shared" si="3"/>
        <v>3</v>
      </c>
      <c r="O21" s="135" t="str">
        <f>IFERROR(VLOOKUP(C21,'04_RALLYE CAM'!$D$6:$M$36,10,FALSE),"")</f>
        <v/>
      </c>
      <c r="P21" s="284" t="e">
        <f>IFERROR(VLOOKUP(C21,'04_RALLYE CAM'!$D$6:$O$36,12,FALSE),"")/2</f>
        <v>#VALUE!</v>
      </c>
      <c r="Q21" s="138" t="e">
        <f t="shared" si="4"/>
        <v>#VALUE!</v>
      </c>
      <c r="R21" s="135" t="str">
        <f>IFERROR(VLOOKUP(C21,'05_RS NAVALCARNERO'!$D$6:$M$28,10,FALSE),"")</f>
        <v/>
      </c>
      <c r="S21" s="135" t="str">
        <f>IFERROR(VLOOKUP(C21,'05_RS NAVALCARNERO'!$D$6:$O$28,12,FALSE),"")</f>
        <v/>
      </c>
      <c r="T21" s="138" t="e">
        <f t="shared" si="5"/>
        <v>#VALUE!</v>
      </c>
      <c r="U21" s="135" t="str">
        <f>IFERROR(VLOOKUP(C21,'06_TCT NUEVO BAZTÁN'!$D$6:$M$28,10,FALSE),"")</f>
        <v/>
      </c>
      <c r="V21" s="135" t="str">
        <f>IFERROR(VLOOKUP(C21,'06_TCT NUEVO BAZTÁN'!$D$6:$O$28,12,FALSE),"")</f>
        <v/>
      </c>
      <c r="W21" s="138" t="e">
        <f t="shared" si="0"/>
        <v>#VALUE!</v>
      </c>
      <c r="X21" s="139" t="e">
        <f t="shared" si="6"/>
        <v>#VALUE!</v>
      </c>
      <c r="Y21" s="140" t="str">
        <f t="shared" si="7"/>
        <v>Sí</v>
      </c>
      <c r="Z21" s="141">
        <f t="shared" si="8"/>
        <v>6</v>
      </c>
      <c r="AB21" s="261" t="str">
        <f>IFERROR(VLOOKUP(C21,Tabla15[[Piloto]:[Puntos clase]],6, FALSE), " ")</f>
        <v>2RM</v>
      </c>
    </row>
    <row r="22" spans="2:28" ht="12.75" customHeight="1" x14ac:dyDescent="0.3">
      <c r="B22" s="133">
        <v>17</v>
      </c>
      <c r="C22" s="134" t="s">
        <v>610</v>
      </c>
      <c r="D22" s="482">
        <f>IFERROR(VLOOKUP(C22,Tabla15[[Piloto]:[Puntos clase]],7, FALSE), " ")</f>
        <v>3</v>
      </c>
      <c r="E22" s="482" t="str">
        <f>LEFT(AB22,LEN(AB22)-2)</f>
        <v>2</v>
      </c>
      <c r="F22" s="135">
        <f>IFERROR(VLOOKUP(C22,'01_RS ALCARRIA'!$D$6:$M$36,10,FALSE),"")</f>
        <v>0</v>
      </c>
      <c r="G22" s="135">
        <f>IFERROR(VLOOKUP(C22,'01_RS ALCARRIA'!$D$6:$O$36,12,FALSE),"")</f>
        <v>0</v>
      </c>
      <c r="H22" s="138">
        <f t="shared" si="1"/>
        <v>0</v>
      </c>
      <c r="I22" s="135">
        <f>IFERROR(VLOOKUP(C22,'02_TCT GUADAMUR'!$D$6:$M$36,10,FALSE),"")</f>
        <v>0</v>
      </c>
      <c r="J22" s="135">
        <f>IFERROR(VLOOKUP(C22,'02_TCT GUADAMUR'!$D$6:$O$36,12,FALSE),"")</f>
        <v>1</v>
      </c>
      <c r="K22" s="138">
        <f t="shared" si="2"/>
        <v>1</v>
      </c>
      <c r="L22" s="135">
        <f>IFERROR(VLOOKUP(C22,'03_TCT MAQUEDA'!$D$6:$M$36,10,FALSE),"")</f>
        <v>4</v>
      </c>
      <c r="M22" s="135">
        <f>IFERROR(VLOOKUP(C22,'03_TCT MAQUEDA'!$D$6:$O$36,12,FALSE),"")</f>
        <v>8</v>
      </c>
      <c r="N22" s="138">
        <f t="shared" si="3"/>
        <v>12</v>
      </c>
      <c r="O22" s="135" t="str">
        <f>IFERROR(VLOOKUP(C22,'04_RALLYE CAM'!$D$6:$M$36,10,FALSE),"")</f>
        <v/>
      </c>
      <c r="P22" s="135" t="str">
        <f>IFERROR(VLOOKUP(C22,'04_RALLYE CAM'!$D$6:$O$36,12,FALSE),"")</f>
        <v/>
      </c>
      <c r="Q22" s="138" t="e">
        <f t="shared" si="4"/>
        <v>#VALUE!</v>
      </c>
      <c r="R22" s="135" t="str">
        <f>IFERROR(VLOOKUP(C22,'05_RS NAVALCARNERO'!$D$6:$M$28,10,FALSE),"")</f>
        <v/>
      </c>
      <c r="S22" s="135" t="str">
        <f>IFERROR(VLOOKUP(C22,'05_RS NAVALCARNERO'!$D$6:$O$28,12,FALSE),"")</f>
        <v/>
      </c>
      <c r="T22" s="138" t="e">
        <f t="shared" si="5"/>
        <v>#VALUE!</v>
      </c>
      <c r="U22" s="135" t="str">
        <f>IFERROR(VLOOKUP(C22,'06_TCT NUEVO BAZTÁN'!$D$6:$M$28,10,FALSE),"")</f>
        <v/>
      </c>
      <c r="V22" s="135" t="str">
        <f>IFERROR(VLOOKUP(C22,'06_TCT NUEVO BAZTÁN'!$D$6:$O$28,12,FALSE),"")</f>
        <v/>
      </c>
      <c r="W22" s="138" t="e">
        <f t="shared" si="0"/>
        <v>#VALUE!</v>
      </c>
      <c r="X22" s="139" t="e">
        <f t="shared" si="6"/>
        <v>#VALUE!</v>
      </c>
      <c r="Y22" s="140" t="str">
        <f t="shared" si="7"/>
        <v>Sí</v>
      </c>
      <c r="Z22" s="141">
        <f t="shared" si="8"/>
        <v>6</v>
      </c>
      <c r="AB22" s="261" t="str">
        <f>IFERROR(VLOOKUP(C22,Tabla15[[Piloto]:[Puntos clase]],6, FALSE), " ")</f>
        <v>2RM</v>
      </c>
    </row>
    <row r="23" spans="2:28" ht="12.75" customHeight="1" x14ac:dyDescent="0.3">
      <c r="B23" s="133">
        <v>17</v>
      </c>
      <c r="C23" s="142" t="s">
        <v>319</v>
      </c>
      <c r="D23" s="482">
        <f>IFERROR(VLOOKUP(C23,Tabla15[[Piloto]:[Puntos clase]],7, FALSE), " ")</f>
        <v>3</v>
      </c>
      <c r="E23" s="482" t="str">
        <f>LEFT(AB23,LEN(AB23)-2)</f>
        <v>2</v>
      </c>
      <c r="F23" s="135">
        <f>IFERROR(VLOOKUP(C23,'01_RS ALCARRIA'!$D$6:$M$36,10,FALSE),"")</f>
        <v>0</v>
      </c>
      <c r="G23" s="135">
        <f>IFERROR(VLOOKUP(C23,'01_RS ALCARRIA'!$D$6:$O$36,12,FALSE),"")</f>
        <v>0</v>
      </c>
      <c r="H23" s="138">
        <f t="shared" si="1"/>
        <v>0</v>
      </c>
      <c r="I23" s="135" t="str">
        <f>IFERROR(VLOOKUP(C23,'02_TCT GUADAMUR'!$D$6:$M$36,10,FALSE),"")</f>
        <v/>
      </c>
      <c r="J23" s="135" t="str">
        <f>IFERROR(VLOOKUP(C23,'02_TCT GUADAMUR'!$D$6:$O$36,12,FALSE),"")</f>
        <v/>
      </c>
      <c r="K23" s="138" t="e">
        <f t="shared" si="2"/>
        <v>#VALUE!</v>
      </c>
      <c r="L23" s="135">
        <f>IFERROR(VLOOKUP(C23,'03_TCT MAQUEDA'!$D$6:$M$36,10,FALSE),"")</f>
        <v>0</v>
      </c>
      <c r="M23" s="135">
        <f>IFERROR(VLOOKUP(C23,'03_TCT MAQUEDA'!$D$6:$O$36,12,FALSE),"")</f>
        <v>1</v>
      </c>
      <c r="N23" s="138">
        <f t="shared" si="3"/>
        <v>1</v>
      </c>
      <c r="O23" s="135">
        <f>IFERROR(VLOOKUP(C23,'04_RALLYE CAM'!$D$6:$M$36,10,FALSE),"")</f>
        <v>0</v>
      </c>
      <c r="P23" s="135">
        <f>IFERROR(VLOOKUP(C23,'04_RALLYE CAM'!$D$6:$O$36,12,FALSE),"")</f>
        <v>6</v>
      </c>
      <c r="Q23" s="138">
        <f t="shared" si="4"/>
        <v>18</v>
      </c>
      <c r="R23" s="135" t="str">
        <f>IFERROR(VLOOKUP(C23,'05_RS NAVALCARNERO'!$D$6:$M$28,10,FALSE),"")</f>
        <v/>
      </c>
      <c r="S23" s="135" t="str">
        <f>IFERROR(VLOOKUP(C23,'05_RS NAVALCARNERO'!$D$6:$O$28,12,FALSE),"")</f>
        <v/>
      </c>
      <c r="T23" s="138" t="e">
        <f t="shared" si="5"/>
        <v>#VALUE!</v>
      </c>
      <c r="U23" s="135" t="str">
        <f>IFERROR(VLOOKUP(C23,'06_TCT NUEVO BAZTÁN'!$D$6:$M$28,10,FALSE),"")</f>
        <v/>
      </c>
      <c r="V23" s="135" t="str">
        <f>IFERROR(VLOOKUP(C23,'06_TCT NUEVO BAZTÁN'!$D$6:$O$28,12,FALSE),"")</f>
        <v/>
      </c>
      <c r="W23" s="138" t="e">
        <f t="shared" si="0"/>
        <v>#VALUE!</v>
      </c>
      <c r="X23" s="139" t="e">
        <f t="shared" si="6"/>
        <v>#VALUE!</v>
      </c>
      <c r="Y23" s="140" t="str">
        <f t="shared" si="7"/>
        <v>Sí</v>
      </c>
      <c r="Z23" s="141">
        <f t="shared" si="8"/>
        <v>6</v>
      </c>
      <c r="AB23" s="261" t="str">
        <f>IFERROR(VLOOKUP(C23,Tabla15[[Piloto]:[Puntos clase]],6, FALSE), " ")</f>
        <v>2RM</v>
      </c>
    </row>
    <row r="24" spans="2:28" ht="12.75" customHeight="1" x14ac:dyDescent="0.3">
      <c r="B24" s="133">
        <v>19</v>
      </c>
      <c r="C24" s="142" t="s">
        <v>619</v>
      </c>
      <c r="D24" s="482">
        <f>IFERROR(VLOOKUP(C24,Tabla15[[Piloto]:[Puntos clase]],7, FALSE), " ")</f>
        <v>3</v>
      </c>
      <c r="E24" s="482" t="str">
        <f>LEFT(AB24,LEN(AB24)-2)</f>
        <v>2</v>
      </c>
      <c r="F24" s="135">
        <f>IFERROR(VLOOKUP(C24,'01_RS ALCARRIA'!$D$6:$M$36,10,FALSE),"")</f>
        <v>0</v>
      </c>
      <c r="G24" s="135">
        <f>IFERROR(VLOOKUP(C24,'01_RS ALCARRIA'!$D$6:$O$36,12,FALSE),"")</f>
        <v>0</v>
      </c>
      <c r="H24" s="138">
        <f t="shared" si="1"/>
        <v>0</v>
      </c>
      <c r="I24" s="135" t="str">
        <f>IFERROR(VLOOKUP(C24,'02_TCT GUADAMUR'!$D$6:$M$36,10,FALSE),"")</f>
        <v/>
      </c>
      <c r="J24" s="135" t="str">
        <f>IFERROR(VLOOKUP(C24,'02_TCT GUADAMUR'!$D$6:$O$36,12,FALSE),"")</f>
        <v/>
      </c>
      <c r="K24" s="138" t="e">
        <f t="shared" si="2"/>
        <v>#VALUE!</v>
      </c>
      <c r="L24" s="135" t="str">
        <f>IFERROR(VLOOKUP(C24,'03_TCT MAQUEDA'!$D$6:$M$36,10,FALSE),"")</f>
        <v/>
      </c>
      <c r="M24" s="135" t="str">
        <f>IFERROR(VLOOKUP(C24,'03_TCT MAQUEDA'!$D$6:$O$36,12,FALSE),"")</f>
        <v/>
      </c>
      <c r="N24" s="138" t="e">
        <f t="shared" si="3"/>
        <v>#VALUE!</v>
      </c>
      <c r="O24" s="135" t="str">
        <f>IFERROR(VLOOKUP(C24,'04_RALLYE CAM'!$D$6:$M$36,10,FALSE),"")</f>
        <v/>
      </c>
      <c r="P24" s="284" t="e">
        <f>IFERROR(VLOOKUP(C24,'04_RALLYE CAM'!$D$6:$O$36,12,FALSE),"")/2</f>
        <v>#VALUE!</v>
      </c>
      <c r="Q24" s="138" t="e">
        <f t="shared" si="4"/>
        <v>#VALUE!</v>
      </c>
      <c r="R24" s="135" t="str">
        <f>IFERROR(VLOOKUP(C24,'05_RS NAVALCARNERO'!$D$6:$M$28,10,FALSE),"")</f>
        <v/>
      </c>
      <c r="S24" s="135" t="str">
        <f>IFERROR(VLOOKUP(C24,'05_RS NAVALCARNERO'!$D$6:$O$28,12,FALSE),"")</f>
        <v/>
      </c>
      <c r="T24" s="138" t="e">
        <f t="shared" si="5"/>
        <v>#VALUE!</v>
      </c>
      <c r="U24" s="135" t="str">
        <f>IFERROR(VLOOKUP(C24,'06_TCT NUEVO BAZTÁN'!$D$6:$M$28,10,FALSE),"")</f>
        <v/>
      </c>
      <c r="V24" s="135" t="str">
        <f>IFERROR(VLOOKUP(C24,'06_TCT NUEVO BAZTÁN'!$D$6:$O$28,12,FALSE),"")</f>
        <v/>
      </c>
      <c r="W24" s="138" t="e">
        <f t="shared" si="0"/>
        <v>#VALUE!</v>
      </c>
      <c r="X24" s="139" t="e">
        <f t="shared" si="6"/>
        <v>#VALUE!</v>
      </c>
      <c r="Y24" s="140" t="str">
        <f t="shared" si="7"/>
        <v>Sí</v>
      </c>
      <c r="Z24" s="141">
        <f t="shared" si="8"/>
        <v>6</v>
      </c>
      <c r="AB24" s="261" t="str">
        <f>IFERROR(VLOOKUP(C24,Tabla15[[Piloto]:[Puntos clase]],6, FALSE), " ")</f>
        <v>2RM</v>
      </c>
    </row>
    <row r="25" spans="2:28" ht="12.75" customHeight="1" x14ac:dyDescent="0.3">
      <c r="B25" s="133">
        <v>20</v>
      </c>
      <c r="C25" s="142" t="s">
        <v>621</v>
      </c>
      <c r="D25" s="482">
        <v>4</v>
      </c>
      <c r="E25" s="482" t="str">
        <f>LEFT(AB25,LEN(AB25)-2)</f>
        <v>2</v>
      </c>
      <c r="F25" s="135">
        <f>IFERROR(VLOOKUP(C25,'01_RS ALCARRIA'!$D$6:$M$36,10,FALSE),"")</f>
        <v>0</v>
      </c>
      <c r="G25" s="135">
        <f>IFERROR(VLOOKUP(C25,'01_RS ALCARRIA'!$D$6:$O$36,12,FALSE),"")</f>
        <v>6</v>
      </c>
      <c r="H25" s="138">
        <f t="shared" si="1"/>
        <v>12</v>
      </c>
      <c r="I25" s="135">
        <f>IFERROR(VLOOKUP(C25,'02_TCT GUADAMUR'!$D$6:$M$36,10,FALSE),"")</f>
        <v>0</v>
      </c>
      <c r="J25" s="135">
        <f>IFERROR(VLOOKUP(C25,'02_TCT GUADAMUR'!$D$6:$O$36,12,FALSE),"")</f>
        <v>5</v>
      </c>
      <c r="K25" s="138">
        <f t="shared" si="2"/>
        <v>5</v>
      </c>
      <c r="L25" s="135" t="str">
        <f>IFERROR(VLOOKUP(C25,'03_TCT MAQUEDA'!$D$6:$M$36,10,FALSE),"")</f>
        <v/>
      </c>
      <c r="M25" s="135" t="str">
        <f>IFERROR(VLOOKUP(C25,'03_TCT MAQUEDA'!$D$6:$O$36,12,FALSE),"")</f>
        <v/>
      </c>
      <c r="N25" s="138" t="e">
        <f t="shared" si="3"/>
        <v>#VALUE!</v>
      </c>
      <c r="O25" s="135" t="str">
        <f>IFERROR(VLOOKUP(C25,'04_RALLYE CAM'!$D$6:$M$36,10,FALSE),"")</f>
        <v/>
      </c>
      <c r="P25" s="135" t="str">
        <f>IFERROR(VLOOKUP(C25,'04_RALLYE CAM'!$D$6:$O$36,12,FALSE),"")</f>
        <v/>
      </c>
      <c r="Q25" s="138" t="e">
        <f t="shared" si="4"/>
        <v>#VALUE!</v>
      </c>
      <c r="R25" s="135" t="str">
        <f>IFERROR(VLOOKUP(C25,'05_RS NAVALCARNERO'!$D$6:$M$28,10,FALSE),"")</f>
        <v/>
      </c>
      <c r="S25" s="135" t="str">
        <f>IFERROR(VLOOKUP(C25,'05_RS NAVALCARNERO'!$D$6:$O$28,12,FALSE),"")</f>
        <v/>
      </c>
      <c r="T25" s="138" t="e">
        <f t="shared" si="5"/>
        <v>#VALUE!</v>
      </c>
      <c r="U25" s="135" t="str">
        <f>IFERROR(VLOOKUP(C25,'06_TCT NUEVO BAZTÁN'!$D$6:$M$28,10,FALSE),"")</f>
        <v/>
      </c>
      <c r="V25" s="135" t="str">
        <f>IFERROR(VLOOKUP(C25,'06_TCT NUEVO BAZTÁN'!$D$6:$O$28,12,FALSE),"")</f>
        <v/>
      </c>
      <c r="W25" s="138" t="e">
        <f t="shared" si="0"/>
        <v>#VALUE!</v>
      </c>
      <c r="X25" s="139" t="e">
        <f t="shared" si="6"/>
        <v>#VALUE!</v>
      </c>
      <c r="Y25" s="140" t="str">
        <f t="shared" si="7"/>
        <v>Sí</v>
      </c>
      <c r="Z25" s="141">
        <f t="shared" si="8"/>
        <v>6</v>
      </c>
      <c r="AB25" s="261" t="str">
        <f>IFERROR(VLOOKUP(C25,Tabla15[[Piloto]:[Puntos clase]],6, FALSE), " ")</f>
        <v>2RM</v>
      </c>
    </row>
    <row r="26" spans="2:28" ht="13" x14ac:dyDescent="0.3">
      <c r="B26" s="133">
        <v>21</v>
      </c>
      <c r="C26" s="142" t="s">
        <v>624</v>
      </c>
      <c r="D26" s="482">
        <v>4</v>
      </c>
      <c r="E26" s="482">
        <v>2</v>
      </c>
      <c r="F26" s="135">
        <f>IFERROR(VLOOKUP(C26,'01_RS ALCARRIA'!$D$6:$M$36,10,FALSE),"")</f>
        <v>0</v>
      </c>
      <c r="G26" s="135">
        <f>IFERROR(VLOOKUP(C26,'01_RS ALCARRIA'!$D$6:$O$36,12,FALSE),"")</f>
        <v>5</v>
      </c>
      <c r="H26" s="138">
        <f t="shared" si="1"/>
        <v>10</v>
      </c>
      <c r="I26" s="135">
        <f>IFERROR(VLOOKUP(C26,'02_TCT GUADAMUR'!$D$6:$M$36,10,FALSE),"")</f>
        <v>0</v>
      </c>
      <c r="J26" s="135">
        <f>IFERROR(VLOOKUP(C26,'02_TCT GUADAMUR'!$D$6:$O$36,12,FALSE),"")</f>
        <v>6</v>
      </c>
      <c r="K26" s="138">
        <f t="shared" si="2"/>
        <v>6</v>
      </c>
      <c r="L26" s="135">
        <f>IFERROR(VLOOKUP(C26,'03_TCT MAQUEDA'!$D$6:$M$36,10,FALSE),"")</f>
        <v>6</v>
      </c>
      <c r="M26" s="135">
        <f>IFERROR(VLOOKUP(C26,'03_TCT MAQUEDA'!$D$6:$O$36,12,FALSE),"")</f>
        <v>10</v>
      </c>
      <c r="N26" s="138">
        <f t="shared" si="3"/>
        <v>16</v>
      </c>
      <c r="O26" s="135" t="str">
        <f>IFERROR(VLOOKUP(C26,'04_RALLYE CAM'!$D$6:$M$36,10,FALSE),"")</f>
        <v/>
      </c>
      <c r="P26" s="135" t="str">
        <f>IFERROR(VLOOKUP(C26,'04_RALLYE CAM'!$D$6:$O$36,12,FALSE),"")</f>
        <v/>
      </c>
      <c r="Q26" s="138" t="e">
        <f t="shared" si="4"/>
        <v>#VALUE!</v>
      </c>
      <c r="R26" s="135" t="str">
        <f>IFERROR(VLOOKUP(C26,'05_RS NAVALCARNERO'!$D$6:$M$28,10,FALSE),"")</f>
        <v/>
      </c>
      <c r="S26" s="135" t="str">
        <f>IFERROR(VLOOKUP(C26,'05_RS NAVALCARNERO'!$D$6:$O$28,12,FALSE),"")</f>
        <v/>
      </c>
      <c r="T26" s="138" t="e">
        <f t="shared" si="5"/>
        <v>#VALUE!</v>
      </c>
      <c r="U26" s="135" t="str">
        <f>IFERROR(VLOOKUP(C26,'06_TCT NUEVO BAZTÁN'!$D$6:$M$28,10,FALSE),"")</f>
        <v/>
      </c>
      <c r="V26" s="135" t="str">
        <f>IFERROR(VLOOKUP(C26,'06_TCT NUEVO BAZTÁN'!$D$6:$O$28,12,FALSE),"")</f>
        <v/>
      </c>
      <c r="W26" s="138" t="e">
        <f t="shared" si="0"/>
        <v>#VALUE!</v>
      </c>
      <c r="X26" s="139" t="e">
        <f t="shared" si="6"/>
        <v>#VALUE!</v>
      </c>
      <c r="Y26" s="140" t="str">
        <f t="shared" si="7"/>
        <v>Sí</v>
      </c>
      <c r="Z26" s="141">
        <f t="shared" si="8"/>
        <v>6</v>
      </c>
      <c r="AB26" s="261" t="str">
        <f>IFERROR(VLOOKUP(C26,Tabla15[[Piloto]:[Puntos clase]],6, FALSE), " ")</f>
        <v>2RM</v>
      </c>
    </row>
    <row r="27" spans="2:28" ht="13" x14ac:dyDescent="0.3">
      <c r="B27" s="133">
        <v>22</v>
      </c>
      <c r="C27" s="142" t="s">
        <v>626</v>
      </c>
      <c r="D27" s="482">
        <f>IFERROR(VLOOKUP(C27,Tabla15[[Piloto]:[Puntos clase]],7, FALSE), " ")</f>
        <v>5</v>
      </c>
      <c r="E27" s="482" t="str">
        <f>LEFT(AB27,LEN(AB27)-2)</f>
        <v>4</v>
      </c>
      <c r="F27" s="135" t="str">
        <f>IFERROR(VLOOKUP(C27,'01_RS ALCARRIA'!$D$6:$M$36,10,FALSE),"")</f>
        <v/>
      </c>
      <c r="G27" s="135" t="str">
        <f>IFERROR(VLOOKUP(C27,'01_RS ALCARRIA'!$D$6:$O$36,12,FALSE),"")</f>
        <v/>
      </c>
      <c r="H27" s="138" t="e">
        <f t="shared" si="1"/>
        <v>#VALUE!</v>
      </c>
      <c r="I27" s="135">
        <f>IFERROR(VLOOKUP(C27,'02_TCT GUADAMUR'!$D$6:$M$36,10,FALSE),"")</f>
        <v>4</v>
      </c>
      <c r="J27" s="135">
        <f>IFERROR(VLOOKUP(C27,'02_TCT GUADAMUR'!$D$6:$O$36,12,FALSE),"")</f>
        <v>8</v>
      </c>
      <c r="K27" s="138">
        <f t="shared" si="2"/>
        <v>12</v>
      </c>
      <c r="L27" s="135" t="str">
        <f>IFERROR(VLOOKUP(C27,'03_TCT MAQUEDA'!$D$6:$M$36,10,FALSE),"")</f>
        <v/>
      </c>
      <c r="M27" s="135" t="str">
        <f>IFERROR(VLOOKUP(C27,'03_TCT MAQUEDA'!$D$6:$O$36,12,FALSE),"")</f>
        <v/>
      </c>
      <c r="N27" s="138" t="e">
        <f t="shared" si="3"/>
        <v>#VALUE!</v>
      </c>
      <c r="O27" s="135" t="str">
        <f>IFERROR(VLOOKUP(C27,'04_RALLYE CAM'!$D$6:$M$36,10,FALSE),"")</f>
        <v/>
      </c>
      <c r="P27" s="135" t="str">
        <f>IFERROR(VLOOKUP(C27,'04_RALLYE CAM'!$D$6:$O$36,12,FALSE),"")</f>
        <v/>
      </c>
      <c r="Q27" s="138" t="e">
        <f t="shared" si="4"/>
        <v>#VALUE!</v>
      </c>
      <c r="R27" s="135" t="str">
        <f>IFERROR(VLOOKUP(C27,'05_RS NAVALCARNERO'!$D$6:$M$28,10,FALSE),"")</f>
        <v/>
      </c>
      <c r="S27" s="135" t="str">
        <f>IFERROR(VLOOKUP(C27,'05_RS NAVALCARNERO'!$D$6:$O$28,12,FALSE),"")</f>
        <v/>
      </c>
      <c r="T27" s="138" t="e">
        <f t="shared" si="5"/>
        <v>#VALUE!</v>
      </c>
      <c r="U27" s="135" t="str">
        <f>IFERROR(VLOOKUP(C27,'06_TCT NUEVO BAZTÁN'!$D$6:$M$28,10,FALSE),"")</f>
        <v/>
      </c>
      <c r="V27" s="135" t="str">
        <f>IFERROR(VLOOKUP(C27,'06_TCT NUEVO BAZTÁN'!$D$6:$O$28,12,FALSE),"")</f>
        <v/>
      </c>
      <c r="W27" s="138" t="e">
        <f t="shared" si="0"/>
        <v>#VALUE!</v>
      </c>
      <c r="X27" s="139" t="e">
        <f t="shared" si="6"/>
        <v>#VALUE!</v>
      </c>
      <c r="Y27" s="140" t="str">
        <f t="shared" si="7"/>
        <v>Sí</v>
      </c>
      <c r="Z27" s="141">
        <f t="shared" si="8"/>
        <v>6</v>
      </c>
      <c r="AB27" s="261" t="str">
        <f>IFERROR(VLOOKUP(C27,Tabla15[[Piloto]:[Puntos clase]],6, FALSE), " ")</f>
        <v>4RM</v>
      </c>
    </row>
    <row r="28" spans="2:28" ht="13" x14ac:dyDescent="0.3">
      <c r="B28" s="133">
        <v>23</v>
      </c>
      <c r="C28" s="142" t="s">
        <v>628</v>
      </c>
      <c r="D28" s="482">
        <f>IFERROR(VLOOKUP(C28,Tabla15[[Piloto]:[Puntos clase]],7, FALSE), " ")</f>
        <v>2</v>
      </c>
      <c r="E28" s="482" t="str">
        <f>LEFT(AB28,LEN(AB28)-2)</f>
        <v>2</v>
      </c>
      <c r="F28" s="135" t="str">
        <f>IFERROR(VLOOKUP(C28,'01_RS ALCARRIA'!$D$6:$M$36,10,FALSE),"")</f>
        <v/>
      </c>
      <c r="G28" s="135" t="str">
        <f>IFERROR(VLOOKUP(C28,'01_RS ALCARRIA'!$D$6:$O$36,12,FALSE),"")</f>
        <v/>
      </c>
      <c r="H28" s="138" t="e">
        <f t="shared" si="1"/>
        <v>#VALUE!</v>
      </c>
      <c r="I28" s="135" t="str">
        <f>IFERROR(VLOOKUP(C28,'02_TCT GUADAMUR'!$D$6:$M$36,10,FALSE),"")</f>
        <v/>
      </c>
      <c r="J28" s="135" t="str">
        <f>IFERROR(VLOOKUP(C28,'02_TCT GUADAMUR'!$D$6:$O$36,12,FALSE),"")</f>
        <v/>
      </c>
      <c r="K28" s="138" t="e">
        <f t="shared" si="2"/>
        <v>#VALUE!</v>
      </c>
      <c r="L28" s="135">
        <f>IFERROR(VLOOKUP(C28,'03_TCT MAQUEDA'!$D$6:$M$36,10,FALSE),"")</f>
        <v>0</v>
      </c>
      <c r="M28" s="135">
        <f>IFERROR(VLOOKUP(C28,'03_TCT MAQUEDA'!$D$6:$O$36,12,FALSE),"")</f>
        <v>5</v>
      </c>
      <c r="N28" s="138">
        <f t="shared" si="3"/>
        <v>5</v>
      </c>
      <c r="O28" s="135" t="str">
        <f>IFERROR(VLOOKUP(C28,'04_RALLYE CAM'!$D$6:$M$36,10,FALSE),"")</f>
        <v/>
      </c>
      <c r="P28" s="135" t="str">
        <f>IFERROR(VLOOKUP(C28,'04_RALLYE CAM'!$D$6:$O$36,12,FALSE),"")</f>
        <v/>
      </c>
      <c r="Q28" s="138" t="e">
        <f t="shared" si="4"/>
        <v>#VALUE!</v>
      </c>
      <c r="R28" s="135" t="str">
        <f>IFERROR(VLOOKUP(C28,'05_RS NAVALCARNERO'!$D$6:$M$28,10,FALSE),"")</f>
        <v/>
      </c>
      <c r="S28" s="135" t="str">
        <f>IFERROR(VLOOKUP(C28,'05_RS NAVALCARNERO'!$D$6:$O$28,12,FALSE),"")</f>
        <v/>
      </c>
      <c r="T28" s="138" t="e">
        <f t="shared" si="5"/>
        <v>#VALUE!</v>
      </c>
      <c r="U28" s="135" t="str">
        <f>IFERROR(VLOOKUP(C28,'06_TCT NUEVO BAZTÁN'!$D$6:$M$28,10,FALSE),"")</f>
        <v/>
      </c>
      <c r="V28" s="135" t="str">
        <f>IFERROR(VLOOKUP(C28,'06_TCT NUEVO BAZTÁN'!$D$6:$O$28,12,FALSE),"")</f>
        <v/>
      </c>
      <c r="W28" s="138" t="e">
        <f t="shared" si="0"/>
        <v>#VALUE!</v>
      </c>
      <c r="X28" s="139" t="e">
        <f t="shared" si="6"/>
        <v>#VALUE!</v>
      </c>
      <c r="Y28" s="140" t="str">
        <f t="shared" si="7"/>
        <v>Sí</v>
      </c>
      <c r="Z28" s="141">
        <f t="shared" si="8"/>
        <v>6</v>
      </c>
      <c r="AB28" s="261" t="str">
        <f>IFERROR(VLOOKUP(C28,Tabla15[[Piloto]:[Puntos clase]],6, FALSE), " ")</f>
        <v>2RM</v>
      </c>
    </row>
    <row r="29" spans="2:28" ht="13" x14ac:dyDescent="0.3">
      <c r="B29" s="133">
        <v>24</v>
      </c>
      <c r="C29" s="142" t="s">
        <v>408</v>
      </c>
      <c r="D29" s="482">
        <f>IFERROR(VLOOKUP(C29,Tabla15[[Piloto]:[Puntos clase]],7, FALSE), " ")</f>
        <v>5</v>
      </c>
      <c r="E29" s="482" t="str">
        <f>LEFT(AB29,LEN(AB29)-2)</f>
        <v>2</v>
      </c>
      <c r="F29" s="135" t="str">
        <f>IFERROR(VLOOKUP(C29,'01_RS ALCARRIA'!$D$6:$M$36,10,FALSE),"")</f>
        <v/>
      </c>
      <c r="G29" s="135" t="str">
        <f>IFERROR(VLOOKUP(C29,'01_RS ALCARRIA'!$D$6:$O$36,12,FALSE),"")</f>
        <v/>
      </c>
      <c r="H29" s="138" t="e">
        <f t="shared" si="1"/>
        <v>#VALUE!</v>
      </c>
      <c r="I29" s="135">
        <f>IFERROR(VLOOKUP(C29,'02_TCT GUADAMUR'!$D$6:$M$36,10,FALSE),"")</f>
        <v>0</v>
      </c>
      <c r="J29" s="135">
        <f>IFERROR(VLOOKUP(C29,'02_TCT GUADAMUR'!$D$6:$O$36,12,FALSE),"")</f>
        <v>6</v>
      </c>
      <c r="K29" s="138">
        <f t="shared" si="2"/>
        <v>6</v>
      </c>
      <c r="L29" s="135">
        <f>IFERROR(VLOOKUP(C29,'03_TCT MAQUEDA'!$D$6:$M$36,10,FALSE),"")</f>
        <v>10</v>
      </c>
      <c r="M29" s="284">
        <f>IFERROR(VLOOKUP(C29,'03_TCT MAQUEDA'!$D$6:$O$36,12,FALSE),"")/2</f>
        <v>5</v>
      </c>
      <c r="N29" s="138">
        <f t="shared" si="3"/>
        <v>15</v>
      </c>
      <c r="O29" s="135" t="str">
        <f>IFERROR(VLOOKUP(C29,'04_RALLYE CAM'!$D$6:$M$36,10,FALSE),"")</f>
        <v/>
      </c>
      <c r="P29" s="135" t="str">
        <f>IFERROR(VLOOKUP(C29,'04_RALLYE CAM'!$D$6:$O$36,12,FALSE),"")</f>
        <v/>
      </c>
      <c r="Q29" s="138" t="e">
        <f t="shared" si="4"/>
        <v>#VALUE!</v>
      </c>
      <c r="R29" s="135" t="str">
        <f>IFERROR(VLOOKUP(C29,'05_RS NAVALCARNERO'!$D$6:$M$28,10,FALSE),"")</f>
        <v/>
      </c>
      <c r="S29" s="135" t="str">
        <f>IFERROR(VLOOKUP(C29,'05_RS NAVALCARNERO'!$D$6:$O$28,12,FALSE),"")</f>
        <v/>
      </c>
      <c r="T29" s="138" t="e">
        <f t="shared" si="5"/>
        <v>#VALUE!</v>
      </c>
      <c r="U29" s="135" t="str">
        <f>IFERROR(VLOOKUP(C29,'06_TCT NUEVO BAZTÁN'!$D$6:$M$28,10,FALSE),"")</f>
        <v/>
      </c>
      <c r="V29" s="135" t="str">
        <f>IFERROR(VLOOKUP(C29,'06_TCT NUEVO BAZTÁN'!$D$6:$O$28,12,FALSE),"")</f>
        <v/>
      </c>
      <c r="W29" s="138" t="e">
        <f t="shared" si="0"/>
        <v>#VALUE!</v>
      </c>
      <c r="X29" s="139" t="e">
        <f t="shared" si="6"/>
        <v>#VALUE!</v>
      </c>
      <c r="Y29" s="140" t="str">
        <f t="shared" si="7"/>
        <v>Sí</v>
      </c>
      <c r="Z29" s="141">
        <f t="shared" si="8"/>
        <v>6</v>
      </c>
      <c r="AB29" s="261" t="str">
        <f>IFERROR(VLOOKUP(C29,Tabla15[[Piloto]:[Puntos clase]],6, FALSE), " ")</f>
        <v>2RM</v>
      </c>
    </row>
    <row r="30" spans="2:28" ht="13" x14ac:dyDescent="0.3">
      <c r="B30" s="133">
        <v>25</v>
      </c>
      <c r="C30" s="142" t="s">
        <v>632</v>
      </c>
      <c r="D30" s="482">
        <v>3</v>
      </c>
      <c r="E30" s="482">
        <v>2</v>
      </c>
      <c r="F30" s="135" t="str">
        <f>IFERROR(VLOOKUP(C30,'01_RS ALCARRIA'!$D$6:$M$36,10,FALSE),"")</f>
        <v/>
      </c>
      <c r="G30" s="135" t="str">
        <f>IFERROR(VLOOKUP(C30,'01_RS ALCARRIA'!$D$6:$O$36,12,FALSE),"")</f>
        <v/>
      </c>
      <c r="H30" s="138" t="e">
        <f t="shared" si="1"/>
        <v>#VALUE!</v>
      </c>
      <c r="I30" s="135" t="str">
        <f>IFERROR(VLOOKUP(C30,'02_TCT GUADAMUR'!$D$6:$M$36,10,FALSE),"")</f>
        <v/>
      </c>
      <c r="J30" s="135" t="str">
        <f>IFERROR(VLOOKUP(C30,'02_TCT GUADAMUR'!$D$6:$O$36,12,FALSE),"")</f>
        <v/>
      </c>
      <c r="K30" s="138" t="e">
        <f t="shared" si="2"/>
        <v>#VALUE!</v>
      </c>
      <c r="L30" s="135">
        <f>IFERROR(VLOOKUP(C30,'03_TCT MAQUEDA'!$D$6:$M$36,10,FALSE),"")</f>
        <v>1</v>
      </c>
      <c r="M30" s="135">
        <f>IFERROR(VLOOKUP(C30,'03_TCT MAQUEDA'!$D$6:$O$36,12,FALSE),"")</f>
        <v>5</v>
      </c>
      <c r="N30" s="138">
        <f t="shared" si="3"/>
        <v>6</v>
      </c>
      <c r="O30" s="135" t="str">
        <f>IFERROR(VLOOKUP(C30,'04_RALLYE CAM'!$D$6:$M$36,10,FALSE),"")</f>
        <v/>
      </c>
      <c r="P30" s="135" t="str">
        <f>IFERROR(VLOOKUP(C30,'04_RALLYE CAM'!$D$6:$O$36,12,FALSE),"")</f>
        <v/>
      </c>
      <c r="Q30" s="138" t="e">
        <f t="shared" si="4"/>
        <v>#VALUE!</v>
      </c>
      <c r="R30" s="135" t="str">
        <f>IFERROR(VLOOKUP(C30,'05_RS NAVALCARNERO'!$D$6:$M$28,10,FALSE),"")</f>
        <v/>
      </c>
      <c r="S30" s="135" t="str">
        <f>IFERROR(VLOOKUP(C30,'05_RS NAVALCARNERO'!$D$6:$O$28,12,FALSE),"")</f>
        <v/>
      </c>
      <c r="T30" s="138" t="e">
        <f t="shared" si="5"/>
        <v>#VALUE!</v>
      </c>
      <c r="U30" s="135" t="str">
        <f>IFERROR(VLOOKUP(C30,'06_TCT NUEVO BAZTÁN'!$D$6:$M$28,10,FALSE),"")</f>
        <v/>
      </c>
      <c r="V30" s="135" t="str">
        <f>IFERROR(VLOOKUP(C30,'06_TCT NUEVO BAZTÁN'!$D$6:$O$28,12,FALSE),"")</f>
        <v/>
      </c>
      <c r="W30" s="138" t="e">
        <f t="shared" si="0"/>
        <v>#VALUE!</v>
      </c>
      <c r="X30" s="139" t="e">
        <f t="shared" si="6"/>
        <v>#VALUE!</v>
      </c>
      <c r="Y30" s="140" t="str">
        <f t="shared" si="7"/>
        <v>Sí</v>
      </c>
      <c r="Z30" s="141">
        <f t="shared" si="8"/>
        <v>6</v>
      </c>
      <c r="AB30" s="261" t="str">
        <f>IFERROR(VLOOKUP(C30,Tabla15[[Piloto]:[Puntos clase]],6, FALSE), " ")</f>
        <v>2RM</v>
      </c>
    </row>
    <row r="31" spans="2:28" ht="13" x14ac:dyDescent="0.3">
      <c r="B31" s="133">
        <v>26</v>
      </c>
      <c r="C31" s="142" t="s">
        <v>635</v>
      </c>
      <c r="D31" s="482">
        <f>IFERROR(VLOOKUP(C31,Tabla15[[Piloto]:[Puntos clase]],7, FALSE), " ")</f>
        <v>5</v>
      </c>
      <c r="E31" s="482">
        <v>2</v>
      </c>
      <c r="F31" s="135" t="str">
        <f>IFERROR(VLOOKUP(C31,'01_RS ALCARRIA'!$D$6:$M$36,10,FALSE),"")</f>
        <v/>
      </c>
      <c r="G31" s="135" t="str">
        <f>IFERROR(VLOOKUP(C31,'01_RS ALCARRIA'!$D$6:$O$36,12,FALSE),"")</f>
        <v/>
      </c>
      <c r="H31" s="138" t="e">
        <f t="shared" si="1"/>
        <v>#VALUE!</v>
      </c>
      <c r="I31" s="135" t="str">
        <f>IFERROR(VLOOKUP(C31,'02_TCT GUADAMUR'!$D$6:$M$36,10,FALSE),"")</f>
        <v/>
      </c>
      <c r="J31" s="135" t="str">
        <f>IFERROR(VLOOKUP(C31,'02_TCT GUADAMUR'!$D$6:$O$36,12,FALSE),"")</f>
        <v/>
      </c>
      <c r="K31" s="138" t="e">
        <f t="shared" si="2"/>
        <v>#VALUE!</v>
      </c>
      <c r="L31" s="135" t="str">
        <f>IFERROR(VLOOKUP(C31,'03_TCT MAQUEDA'!$D$6:$M$36,10,FALSE),"")</f>
        <v/>
      </c>
      <c r="M31" s="135" t="str">
        <f>IFERROR(VLOOKUP(C31,'03_TCT MAQUEDA'!$D$6:$O$36,12,FALSE),"")</f>
        <v/>
      </c>
      <c r="N31" s="138" t="e">
        <f t="shared" si="3"/>
        <v>#VALUE!</v>
      </c>
      <c r="O31" s="135" t="str">
        <f>IFERROR(VLOOKUP(C31,'04_RALLYE CAM'!$D$6:$M$36,10,FALSE),"")</f>
        <v/>
      </c>
      <c r="P31" s="135" t="str">
        <f>IFERROR(VLOOKUP(C31,'04_RALLYE CAM'!$D$6:$O$36,12,FALSE),"")</f>
        <v/>
      </c>
      <c r="Q31" s="138" t="e">
        <f t="shared" si="4"/>
        <v>#VALUE!</v>
      </c>
      <c r="R31" s="135" t="str">
        <f>IFERROR(VLOOKUP(C31,'05_RS NAVALCARNERO'!$D$6:$M$28,10,FALSE),"")</f>
        <v/>
      </c>
      <c r="S31" s="135" t="str">
        <f>IFERROR(VLOOKUP(C31,'05_RS NAVALCARNERO'!$D$6:$O$28,12,FALSE),"")</f>
        <v/>
      </c>
      <c r="T31" s="138" t="e">
        <f t="shared" si="5"/>
        <v>#VALUE!</v>
      </c>
      <c r="U31" s="135" t="str">
        <f>IFERROR(VLOOKUP(C31,'06_TCT NUEVO BAZTÁN'!$D$6:$M$28,10,FALSE),"")</f>
        <v/>
      </c>
      <c r="V31" s="135" t="str">
        <f>IFERROR(VLOOKUP(C31,'06_TCT NUEVO BAZTÁN'!$D$6:$O$28,12,FALSE),"")</f>
        <v/>
      </c>
      <c r="W31" s="138" t="e">
        <f t="shared" si="0"/>
        <v>#VALUE!</v>
      </c>
      <c r="X31" s="139" t="e">
        <f t="shared" si="6"/>
        <v>#VALUE!</v>
      </c>
      <c r="Y31" s="140" t="str">
        <f t="shared" si="7"/>
        <v>Sí</v>
      </c>
      <c r="Z31" s="141">
        <f t="shared" si="8"/>
        <v>6</v>
      </c>
      <c r="AB31" s="261" t="str">
        <f>IFERROR(VLOOKUP(C31,Tabla15[[Piloto]:[Puntos clase]],6, FALSE), " ")</f>
        <v>2RM</v>
      </c>
    </row>
    <row r="32" spans="2:28" ht="13" x14ac:dyDescent="0.3">
      <c r="B32" s="133">
        <v>27</v>
      </c>
      <c r="C32" s="142" t="s">
        <v>637</v>
      </c>
      <c r="D32" s="482">
        <f>IFERROR(VLOOKUP(C32,Tabla15[[Piloto]:[Puntos clase]],7, FALSE), " ")</f>
        <v>4</v>
      </c>
      <c r="E32" s="482">
        <v>2</v>
      </c>
      <c r="F32" s="135" t="str">
        <f>IFERROR(VLOOKUP(C32,'01_RS ALCARRIA'!$D$6:$M$36,10,FALSE),"")</f>
        <v/>
      </c>
      <c r="G32" s="135" t="str">
        <f>IFERROR(VLOOKUP(C32,'01_RS ALCARRIA'!$D$6:$O$36,12,FALSE),"")</f>
        <v/>
      </c>
      <c r="H32" s="138" t="e">
        <f t="shared" si="1"/>
        <v>#VALUE!</v>
      </c>
      <c r="I32" s="135" t="str">
        <f>IFERROR(VLOOKUP(C32,'02_TCT GUADAMUR'!$D$6:$M$36,10,FALSE),"")</f>
        <v/>
      </c>
      <c r="J32" s="135" t="str">
        <f>IFERROR(VLOOKUP(C32,'02_TCT GUADAMUR'!$D$6:$O$36,12,FALSE),"")</f>
        <v/>
      </c>
      <c r="K32" s="138" t="e">
        <f t="shared" si="2"/>
        <v>#VALUE!</v>
      </c>
      <c r="L32" s="135" t="str">
        <f>IFERROR(VLOOKUP(C32,'03_TCT MAQUEDA'!$D$6:$M$36,10,FALSE),"")</f>
        <v/>
      </c>
      <c r="M32" s="135" t="str">
        <f>IFERROR(VLOOKUP(C32,'03_TCT MAQUEDA'!$D$6:$O$36,12,FALSE),"")</f>
        <v/>
      </c>
      <c r="N32" s="138" t="e">
        <f t="shared" si="3"/>
        <v>#VALUE!</v>
      </c>
      <c r="O32" s="135" t="str">
        <f>IFERROR(VLOOKUP(C32,'04_RALLYE CAM'!$D$6:$M$36,10,FALSE),"")</f>
        <v/>
      </c>
      <c r="P32" s="135" t="str">
        <f>IFERROR(VLOOKUP(C32,'04_RALLYE CAM'!$D$6:$O$36,12,FALSE),"")</f>
        <v/>
      </c>
      <c r="Q32" s="138" t="e">
        <f t="shared" si="4"/>
        <v>#VALUE!</v>
      </c>
      <c r="R32" s="135" t="str">
        <f>IFERROR(VLOOKUP(C32,'05_RS NAVALCARNERO'!$D$6:$M$28,10,FALSE),"")</f>
        <v/>
      </c>
      <c r="S32" s="135" t="str">
        <f>IFERROR(VLOOKUP(C32,'05_RS NAVALCARNERO'!$D$6:$O$28,12,FALSE),"")</f>
        <v/>
      </c>
      <c r="T32" s="138" t="e">
        <f t="shared" si="5"/>
        <v>#VALUE!</v>
      </c>
      <c r="U32" s="135" t="str">
        <f>IFERROR(VLOOKUP(C32,'06_TCT NUEVO BAZTÁN'!$D$6:$M$28,10,FALSE),"")</f>
        <v/>
      </c>
      <c r="V32" s="135" t="str">
        <f>IFERROR(VLOOKUP(C32,'06_TCT NUEVO BAZTÁN'!$D$6:$O$28,12,FALSE),"")</f>
        <v/>
      </c>
      <c r="W32" s="138" t="e">
        <f t="shared" si="0"/>
        <v>#VALUE!</v>
      </c>
      <c r="X32" s="139" t="e">
        <f t="shared" si="6"/>
        <v>#VALUE!</v>
      </c>
      <c r="Y32" s="140" t="str">
        <f t="shared" si="7"/>
        <v>Sí</v>
      </c>
      <c r="Z32" s="141">
        <f t="shared" si="8"/>
        <v>6</v>
      </c>
      <c r="AB32" s="261" t="str">
        <f>IFERROR(VLOOKUP(C32,Tabla15[[Piloto]:[Puntos clase]],6, FALSE), " ")</f>
        <v>2RM</v>
      </c>
    </row>
    <row r="33" spans="2:28" ht="13" x14ac:dyDescent="0.3">
      <c r="B33" s="133">
        <v>28</v>
      </c>
      <c r="C33" s="134" t="s">
        <v>668</v>
      </c>
      <c r="D33" s="482">
        <v>2</v>
      </c>
      <c r="E33" s="482">
        <v>2</v>
      </c>
      <c r="F33" s="135" t="str">
        <f>IFERROR(VLOOKUP(C33,'01_RS ALCARRIA'!$D$6:$M$36,10,FALSE),"")</f>
        <v/>
      </c>
      <c r="G33" s="135" t="str">
        <f>IFERROR(VLOOKUP(C33,'01_RS ALCARRIA'!$D$6:$O$36,12,FALSE),"")</f>
        <v/>
      </c>
      <c r="H33" s="138" t="e">
        <f t="shared" si="1"/>
        <v>#VALUE!</v>
      </c>
      <c r="I33" s="135">
        <f>IFERROR(VLOOKUP(C33,'02_TCT GUADAMUR'!$D$6:$M$36,10,FALSE),"")</f>
        <v>20</v>
      </c>
      <c r="J33" s="135">
        <f>IFERROR(VLOOKUP(C33,'02_TCT GUADAMUR'!$D$6:$O$36,12,FALSE),"")</f>
        <v>8</v>
      </c>
      <c r="K33" s="138">
        <f t="shared" si="2"/>
        <v>28</v>
      </c>
      <c r="L33" s="135">
        <f>IFERROR(VLOOKUP(C33,'03_TCT MAQUEDA'!$D$6:$M$36,10,FALSE),"")</f>
        <v>12</v>
      </c>
      <c r="M33" s="135">
        <f>IFERROR(VLOOKUP(C33,'03_TCT MAQUEDA'!$D$6:$O$36,12,FALSE),"")</f>
        <v>6</v>
      </c>
      <c r="N33" s="138">
        <f t="shared" si="3"/>
        <v>18</v>
      </c>
      <c r="O33" s="135" t="str">
        <f>IFERROR(VLOOKUP(C33,'04_RALLYE CAM'!$D$6:$M$36,10,FALSE),"")</f>
        <v/>
      </c>
      <c r="P33" s="135" t="str">
        <f>IFERROR(VLOOKUP(C33,'04_RALLYE CAM'!$D$6:$O$36,12,FALSE),"")</f>
        <v/>
      </c>
      <c r="Q33" s="138" t="e">
        <f t="shared" si="4"/>
        <v>#VALUE!</v>
      </c>
      <c r="R33" s="135" t="str">
        <f>IFERROR(VLOOKUP(C33,'05_RS NAVALCARNERO'!$D$6:$M$28,10,FALSE),"")</f>
        <v/>
      </c>
      <c r="S33" s="135" t="str">
        <f>IFERROR(VLOOKUP(C33,'05_RS NAVALCARNERO'!$D$6:$O$28,12,FALSE),"")</f>
        <v/>
      </c>
      <c r="T33" s="138" t="e">
        <f t="shared" si="5"/>
        <v>#VALUE!</v>
      </c>
      <c r="U33" s="135" t="str">
        <f>IFERROR(VLOOKUP(C33,'06_TCT NUEVO BAZTÁN'!$D$6:$M$28,10,FALSE),"")</f>
        <v/>
      </c>
      <c r="V33" s="135" t="str">
        <f>IFERROR(VLOOKUP(C33,'06_TCT NUEVO BAZTÁN'!$D$6:$O$28,12,FALSE),"")</f>
        <v/>
      </c>
      <c r="W33" s="138" t="e">
        <f t="shared" si="0"/>
        <v>#VALUE!</v>
      </c>
      <c r="X33" s="139" t="e">
        <f t="shared" si="6"/>
        <v>#VALUE!</v>
      </c>
      <c r="Y33" s="140" t="str">
        <f t="shared" si="7"/>
        <v>Sí</v>
      </c>
      <c r="Z33" s="141">
        <f t="shared" si="8"/>
        <v>6</v>
      </c>
      <c r="AB33" s="261" t="str">
        <f>IFERROR(VLOOKUP(C33,Tabla15[[Piloto]:[Puntos clase]],6, FALSE), " ")</f>
        <v xml:space="preserve"> </v>
      </c>
    </row>
    <row r="34" spans="2:28" ht="13" x14ac:dyDescent="0.3">
      <c r="B34" s="133">
        <v>29</v>
      </c>
      <c r="C34" s="134" t="s">
        <v>212</v>
      </c>
      <c r="D34" s="482">
        <v>3</v>
      </c>
      <c r="E34" s="482">
        <v>2</v>
      </c>
      <c r="F34" s="135" t="str">
        <f>IFERROR(VLOOKUP(C34,'01_RS ALCARRIA'!$D$6:$M$36,10,FALSE),"")</f>
        <v/>
      </c>
      <c r="G34" s="135" t="str">
        <f>IFERROR(VLOOKUP(C34,'01_RS ALCARRIA'!$D$6:$O$36,12,FALSE),"")</f>
        <v/>
      </c>
      <c r="H34" s="138" t="e">
        <f t="shared" si="1"/>
        <v>#VALUE!</v>
      </c>
      <c r="I34" s="135">
        <f>IFERROR(VLOOKUP(C34,'02_TCT GUADAMUR'!$D$6:$M$36,10,FALSE),"")</f>
        <v>12</v>
      </c>
      <c r="J34" s="135">
        <f>IFERROR(VLOOKUP(C34,'02_TCT GUADAMUR'!$D$6:$O$36,12,FALSE),"")</f>
        <v>10</v>
      </c>
      <c r="K34" s="138">
        <f t="shared" si="2"/>
        <v>22</v>
      </c>
      <c r="L34" s="135" t="str">
        <f>IFERROR(VLOOKUP(C34,'03_TCT MAQUEDA'!$D$6:$M$36,10,FALSE),"")</f>
        <v/>
      </c>
      <c r="M34" s="135" t="str">
        <f>IFERROR(VLOOKUP(C34,'03_TCT MAQUEDA'!$D$6:$O$36,12,FALSE),"")</f>
        <v/>
      </c>
      <c r="N34" s="138" t="e">
        <f t="shared" si="3"/>
        <v>#VALUE!</v>
      </c>
      <c r="O34" s="135" t="str">
        <f>IFERROR(VLOOKUP(C34,'04_RALLYE CAM'!$D$6:$M$36,10,FALSE),"")</f>
        <v/>
      </c>
      <c r="P34" s="135" t="str">
        <f>IFERROR(VLOOKUP(C34,'04_RALLYE CAM'!$D$6:$O$36,12,FALSE),"")</f>
        <v/>
      </c>
      <c r="Q34" s="138" t="e">
        <f t="shared" si="4"/>
        <v>#VALUE!</v>
      </c>
      <c r="R34" s="135">
        <f>IFERROR(VLOOKUP(C34,'05_RS NAVALCARNERO'!$D$6:$M$28,10,FALSE),"")</f>
        <v>6</v>
      </c>
      <c r="S34" s="135">
        <f>IFERROR(VLOOKUP(C34,'05_RS NAVALCARNERO'!$D$6:$O$28,12,FALSE),"")</f>
        <v>6</v>
      </c>
      <c r="T34" s="138">
        <f t="shared" si="5"/>
        <v>24</v>
      </c>
      <c r="U34" s="135">
        <f>IFERROR(VLOOKUP(C34,'06_TCT NUEVO BAZTÁN'!$D$6:$M$28,10,FALSE),"")</f>
        <v>6</v>
      </c>
      <c r="V34" s="135">
        <f>IFERROR(VLOOKUP(C34,'06_TCT NUEVO BAZTÁN'!$D$6:$O$28,12,FALSE),"")</f>
        <v>6</v>
      </c>
      <c r="W34" s="138">
        <f t="shared" si="0"/>
        <v>12</v>
      </c>
      <c r="X34" s="139" t="e">
        <f t="shared" si="6"/>
        <v>#VALUE!</v>
      </c>
      <c r="Y34" s="140" t="str">
        <f t="shared" si="7"/>
        <v>Sí</v>
      </c>
      <c r="Z34" s="141">
        <f t="shared" si="8"/>
        <v>6</v>
      </c>
      <c r="AB34" s="261" t="str">
        <f>IFERROR(VLOOKUP(C34,Tabla15[[Piloto]:[Puntos clase]],6, FALSE), " ")</f>
        <v xml:space="preserve"> </v>
      </c>
    </row>
    <row r="35" spans="2:28" ht="13" x14ac:dyDescent="0.3">
      <c r="B35" s="133">
        <v>30</v>
      </c>
      <c r="C35" s="142" t="s">
        <v>671</v>
      </c>
      <c r="D35" s="482">
        <v>3</v>
      </c>
      <c r="E35" s="482">
        <v>2</v>
      </c>
      <c r="F35" s="135" t="str">
        <f>IFERROR(VLOOKUP(C35,'01_RS ALCARRIA'!$D$6:$M$36,10,FALSE),"")</f>
        <v/>
      </c>
      <c r="G35" s="135" t="str">
        <f>IFERROR(VLOOKUP(C35,'01_RS ALCARRIA'!$D$6:$O$36,12,FALSE),"")</f>
        <v/>
      </c>
      <c r="H35" s="138" t="e">
        <f t="shared" si="1"/>
        <v>#VALUE!</v>
      </c>
      <c r="I35" s="135">
        <f>IFERROR(VLOOKUP(C35,'02_TCT GUADAMUR'!$D$6:$M$36,10,FALSE),"")</f>
        <v>5</v>
      </c>
      <c r="J35" s="135">
        <f>IFERROR(VLOOKUP(C35,'02_TCT GUADAMUR'!$D$6:$O$36,12,FALSE),"")</f>
        <v>6</v>
      </c>
      <c r="K35" s="138">
        <f t="shared" si="2"/>
        <v>11</v>
      </c>
      <c r="L35" s="135">
        <v>0</v>
      </c>
      <c r="M35" s="135">
        <v>0</v>
      </c>
      <c r="N35" s="138">
        <f t="shared" si="3"/>
        <v>0</v>
      </c>
      <c r="O35" s="135" t="str">
        <f>IFERROR(VLOOKUP(C35,'04_RALLYE CAM'!$D$6:$M$36,10,FALSE),"")</f>
        <v/>
      </c>
      <c r="P35" s="135" t="str">
        <f>IFERROR(VLOOKUP(C35,'04_RALLYE CAM'!$D$6:$O$36,12,FALSE),"")</f>
        <v/>
      </c>
      <c r="Q35" s="138" t="e">
        <f t="shared" si="4"/>
        <v>#VALUE!</v>
      </c>
      <c r="R35" s="135" t="str">
        <f>IFERROR(VLOOKUP(C35,'05_RS NAVALCARNERO'!$D$6:$M$28,10,FALSE),"")</f>
        <v/>
      </c>
      <c r="S35" s="135" t="str">
        <f>IFERROR(VLOOKUP(C35,'05_RS NAVALCARNERO'!$D$6:$O$28,12,FALSE),"")</f>
        <v/>
      </c>
      <c r="T35" s="138" t="e">
        <f t="shared" si="5"/>
        <v>#VALUE!</v>
      </c>
      <c r="U35" s="135" t="str">
        <f>IFERROR(VLOOKUP(C35,'06_TCT NUEVO BAZTÁN'!$D$6:$M$28,10,FALSE),"")</f>
        <v/>
      </c>
      <c r="V35" s="135" t="str">
        <f>IFERROR(VLOOKUP(C35,'06_TCT NUEVO BAZTÁN'!$D$6:$O$28,12,FALSE),"")</f>
        <v/>
      </c>
      <c r="W35" s="138" t="e">
        <f t="shared" si="0"/>
        <v>#VALUE!</v>
      </c>
      <c r="X35" s="139" t="e">
        <f t="shared" si="6"/>
        <v>#VALUE!</v>
      </c>
      <c r="Y35" s="140" t="str">
        <f t="shared" si="7"/>
        <v>Sí</v>
      </c>
      <c r="Z35" s="141">
        <f t="shared" si="8"/>
        <v>6</v>
      </c>
      <c r="AB35" s="261" t="str">
        <f>IFERROR(VLOOKUP(C35,Tabla15[[Piloto]:[Puntos clase]],6, FALSE), " ")</f>
        <v xml:space="preserve"> </v>
      </c>
    </row>
    <row r="36" spans="2:28" ht="13" x14ac:dyDescent="0.3">
      <c r="B36" s="133"/>
      <c r="C36" s="142" t="s">
        <v>674</v>
      </c>
      <c r="D36" s="482">
        <v>2</v>
      </c>
      <c r="E36" s="482">
        <v>2</v>
      </c>
      <c r="F36" s="135" t="str">
        <f>IFERROR(VLOOKUP(C36,'01_RS ALCARRIA'!$D$6:$M$36,10,FALSE),"")</f>
        <v/>
      </c>
      <c r="G36" s="135" t="str">
        <f>IFERROR(VLOOKUP(C36,'01_RS ALCARRIA'!$D$6:$O$36,12,FALSE),"")</f>
        <v/>
      </c>
      <c r="H36" s="138" t="e">
        <f t="shared" si="1"/>
        <v>#VALUE!</v>
      </c>
      <c r="I36" s="135">
        <f>IFERROR(VLOOKUP(C36,'02_TCT GUADAMUR'!$D$6:$M$36,10,FALSE),"")</f>
        <v>0</v>
      </c>
      <c r="J36" s="135">
        <f>IFERROR(VLOOKUP(C36,'02_TCT GUADAMUR'!$D$6:$O$36,12,FALSE),"")</f>
        <v>5</v>
      </c>
      <c r="K36" s="138">
        <f t="shared" si="2"/>
        <v>5</v>
      </c>
      <c r="L36" s="135">
        <v>0</v>
      </c>
      <c r="M36" s="135">
        <v>0</v>
      </c>
      <c r="N36" s="138">
        <f t="shared" si="3"/>
        <v>0</v>
      </c>
      <c r="O36" s="135" t="str">
        <f>IFERROR(VLOOKUP(C36,'04_RALLYE CAM'!$D$6:$M$36,10,FALSE),"")</f>
        <v/>
      </c>
      <c r="P36" s="135" t="str">
        <f>IFERROR(VLOOKUP(C36,'04_RALLYE CAM'!$D$6:$O$36,12,FALSE),"")</f>
        <v/>
      </c>
      <c r="Q36" s="138" t="e">
        <f t="shared" si="4"/>
        <v>#VALUE!</v>
      </c>
      <c r="R36" s="135" t="str">
        <f>IFERROR(VLOOKUP(C36,'05_RS NAVALCARNERO'!$D$6:$M$28,10,FALSE),"")</f>
        <v/>
      </c>
      <c r="S36" s="135" t="str">
        <f>IFERROR(VLOOKUP(C36,'05_RS NAVALCARNERO'!$D$6:$O$28,12,FALSE),"")</f>
        <v/>
      </c>
      <c r="T36" s="138" t="e">
        <f t="shared" si="5"/>
        <v>#VALUE!</v>
      </c>
      <c r="U36" s="135" t="str">
        <f>IFERROR(VLOOKUP(C36,'06_TCT NUEVO BAZTÁN'!$D$6:$M$28,10,FALSE),"")</f>
        <v/>
      </c>
      <c r="V36" s="135" t="str">
        <f>IFERROR(VLOOKUP(C36,'06_TCT NUEVO BAZTÁN'!$D$6:$O$28,12,FALSE),"")</f>
        <v/>
      </c>
      <c r="W36" s="138" t="e">
        <f t="shared" si="0"/>
        <v>#VALUE!</v>
      </c>
      <c r="X36" s="139" t="e">
        <f t="shared" si="6"/>
        <v>#VALUE!</v>
      </c>
      <c r="Y36" s="140" t="str">
        <f t="shared" si="7"/>
        <v>Sí</v>
      </c>
      <c r="Z36" s="141">
        <f t="shared" si="8"/>
        <v>6</v>
      </c>
      <c r="AB36" s="261" t="str">
        <f>IFERROR(VLOOKUP(C36,Tabla15[[Piloto]:[Puntos clase]],6, FALSE), " ")</f>
        <v xml:space="preserve"> </v>
      </c>
    </row>
    <row r="37" spans="2:28" ht="13" x14ac:dyDescent="0.3">
      <c r="B37" s="133"/>
      <c r="C37" s="142" t="s">
        <v>676</v>
      </c>
      <c r="D37" s="482">
        <v>4</v>
      </c>
      <c r="E37" s="482">
        <v>2</v>
      </c>
      <c r="F37" s="135" t="str">
        <f>IFERROR(VLOOKUP(C37,'01_RS ALCARRIA'!$D$6:$M$36,10,FALSE),"")</f>
        <v/>
      </c>
      <c r="G37" s="135" t="str">
        <f>IFERROR(VLOOKUP(C37,'01_RS ALCARRIA'!$D$6:$O$36,12,FALSE),"")</f>
        <v/>
      </c>
      <c r="H37" s="138" t="e">
        <f t="shared" si="1"/>
        <v>#VALUE!</v>
      </c>
      <c r="I37" s="135">
        <f>IFERROR(VLOOKUP(C37,'02_TCT GUADAMUR'!$D$6:$M$36,10,FALSE),"")</f>
        <v>0</v>
      </c>
      <c r="J37" s="135">
        <f>IFERROR(VLOOKUP(C37,'02_TCT GUADAMUR'!$D$6:$O$36,12,FALSE),"")</f>
        <v>3</v>
      </c>
      <c r="K37" s="138">
        <f t="shared" si="2"/>
        <v>3</v>
      </c>
      <c r="L37" s="135">
        <f>IFERROR(VLOOKUP(C37,'03_TCT MAQUEDA'!$D$6:$M$36,10,FALSE),"")</f>
        <v>0</v>
      </c>
      <c r="M37" s="135">
        <f>IFERROR(VLOOKUP(C37,'03_TCT MAQUEDA'!$D$6:$O$36,12,FALSE),"")</f>
        <v>6</v>
      </c>
      <c r="N37" s="138">
        <f t="shared" si="3"/>
        <v>6</v>
      </c>
      <c r="O37" s="135" t="str">
        <f>IFERROR(VLOOKUP(C37,'04_RALLYE CAM'!$D$6:$M$36,10,FALSE),"")</f>
        <v/>
      </c>
      <c r="P37" s="135" t="str">
        <f>IFERROR(VLOOKUP(C37,'04_RALLYE CAM'!$D$6:$O$36,12,FALSE),"")</f>
        <v/>
      </c>
      <c r="Q37" s="138" t="e">
        <f t="shared" si="4"/>
        <v>#VALUE!</v>
      </c>
      <c r="R37" s="135" t="str">
        <f>IFERROR(VLOOKUP(C37,'05_RS NAVALCARNERO'!$D$6:$M$28,10,FALSE),"")</f>
        <v/>
      </c>
      <c r="S37" s="135" t="str">
        <f>IFERROR(VLOOKUP(C37,'05_RS NAVALCARNERO'!$D$6:$O$28,12,FALSE),"")</f>
        <v/>
      </c>
      <c r="T37" s="138" t="e">
        <f t="shared" si="5"/>
        <v>#VALUE!</v>
      </c>
      <c r="U37" s="135" t="str">
        <f>IFERROR(VLOOKUP(C37,'06_TCT NUEVO BAZTÁN'!$D$6:$M$28,10,FALSE),"")</f>
        <v/>
      </c>
      <c r="V37" s="135" t="str">
        <f>IFERROR(VLOOKUP(C37,'06_TCT NUEVO BAZTÁN'!$D$6:$O$28,12,FALSE),"")</f>
        <v/>
      </c>
      <c r="W37" s="138" t="e">
        <f t="shared" si="0"/>
        <v>#VALUE!</v>
      </c>
      <c r="X37" s="139" t="e">
        <f t="shared" si="6"/>
        <v>#VALUE!</v>
      </c>
      <c r="Y37" s="140" t="str">
        <f t="shared" si="7"/>
        <v>Sí</v>
      </c>
      <c r="Z37" s="141">
        <f t="shared" si="8"/>
        <v>6</v>
      </c>
      <c r="AB37" s="261" t="str">
        <f>IFERROR(VLOOKUP(C37,Tabla15[[Piloto]:[Puntos clase]],6, FALSE), " ")</f>
        <v xml:space="preserve"> </v>
      </c>
    </row>
    <row r="38" spans="2:28" ht="13" x14ac:dyDescent="0.3">
      <c r="B38" s="133"/>
      <c r="C38" s="142" t="s">
        <v>238</v>
      </c>
      <c r="D38" s="482" t="s">
        <v>359</v>
      </c>
      <c r="E38" s="482" t="s">
        <v>359</v>
      </c>
      <c r="F38" s="135" t="str">
        <f>IFERROR(VLOOKUP(C38,'01_RS ALCARRIA'!$D$6:$M$36,10,FALSE),"")</f>
        <v/>
      </c>
      <c r="G38" s="135" t="str">
        <f>IFERROR(VLOOKUP(C38,'01_RS ALCARRIA'!$D$6:$O$36,12,FALSE),"")</f>
        <v/>
      </c>
      <c r="H38" s="138" t="e">
        <f t="shared" si="1"/>
        <v>#VALUE!</v>
      </c>
      <c r="I38" s="135" t="str">
        <f>IFERROR(VLOOKUP(C38,'02_TCT GUADAMUR'!$D$6:$M$36,10,FALSE),"")</f>
        <v/>
      </c>
      <c r="J38" s="135" t="str">
        <f>IFERROR(VLOOKUP(C38,'02_TCT GUADAMUR'!$D$6:$O$36,12,FALSE),"")</f>
        <v/>
      </c>
      <c r="K38" s="138" t="e">
        <f t="shared" si="2"/>
        <v>#VALUE!</v>
      </c>
      <c r="L38" s="135">
        <v>0</v>
      </c>
      <c r="M38" s="135">
        <v>0</v>
      </c>
      <c r="N38" s="138">
        <f t="shared" si="3"/>
        <v>0</v>
      </c>
      <c r="O38" s="135">
        <v>0</v>
      </c>
      <c r="P38" s="135">
        <v>0</v>
      </c>
      <c r="Q38" s="138">
        <f t="shared" si="4"/>
        <v>0</v>
      </c>
      <c r="R38" s="135" t="str">
        <f>IFERROR(VLOOKUP(C38,'05_RS NAVALCARNERO'!$D$6:$M$28,10,FALSE),"")</f>
        <v/>
      </c>
      <c r="S38" s="135" t="str">
        <f>IFERROR(VLOOKUP(C38,'05_RS NAVALCARNERO'!$D$6:$O$28,12,FALSE),"")</f>
        <v/>
      </c>
      <c r="T38" s="138" t="e">
        <f t="shared" si="5"/>
        <v>#VALUE!</v>
      </c>
      <c r="U38" s="135" t="str">
        <f>IFERROR(VLOOKUP(C38,'06_TCT NUEVO BAZTÁN'!$D$6:$M$28,10,FALSE),"")</f>
        <v/>
      </c>
      <c r="V38" s="135" t="str">
        <f>IFERROR(VLOOKUP(C38,'06_TCT NUEVO BAZTÁN'!$D$6:$O$28,12,FALSE),"")</f>
        <v/>
      </c>
      <c r="W38" s="138" t="e">
        <f t="shared" si="0"/>
        <v>#VALUE!</v>
      </c>
      <c r="X38" s="139" t="e">
        <f t="shared" si="6"/>
        <v>#VALUE!</v>
      </c>
      <c r="Y38" s="140" t="str">
        <f t="shared" si="7"/>
        <v>Sí</v>
      </c>
      <c r="Z38" s="141">
        <f t="shared" si="8"/>
        <v>6</v>
      </c>
      <c r="AB38" s="261" t="str">
        <f>IFERROR(VLOOKUP(C38,Tabla15[[Piloto]:[Puntos clase]],6, FALSE), " ")</f>
        <v xml:space="preserve"> </v>
      </c>
    </row>
    <row r="39" spans="2:28" ht="13" x14ac:dyDescent="0.3">
      <c r="B39" s="133"/>
      <c r="C39" s="142" t="s">
        <v>678</v>
      </c>
      <c r="D39" s="482">
        <v>1</v>
      </c>
      <c r="E39" s="482">
        <v>4</v>
      </c>
      <c r="F39" s="135" t="str">
        <f>IFERROR(VLOOKUP(C39,'01_RS ALCARRIA'!$D$6:$M$36,10,FALSE),"")</f>
        <v/>
      </c>
      <c r="G39" s="135" t="str">
        <f>IFERROR(VLOOKUP(C39,'01_RS ALCARRIA'!$D$6:$O$36,12,FALSE),"")</f>
        <v/>
      </c>
      <c r="H39" s="138" t="e">
        <f t="shared" ref="H39" si="10">(F39+G39)*2</f>
        <v>#VALUE!</v>
      </c>
      <c r="I39" s="135" t="str">
        <f>IFERROR(VLOOKUP(C39,'02_TCT GUADAMUR'!$D$6:$M$36,10,FALSE),"")</f>
        <v/>
      </c>
      <c r="J39" s="135" t="str">
        <f>IFERROR(VLOOKUP(C39,'02_TCT GUADAMUR'!$D$6:$O$36,12,FALSE),"")</f>
        <v/>
      </c>
      <c r="K39" s="138" t="e">
        <f t="shared" ref="K39" si="11">(I39+J39)</f>
        <v>#VALUE!</v>
      </c>
      <c r="L39" s="135">
        <f>IFERROR(VLOOKUP(C39,'03_TCT MAQUEDA'!$D$6:$M$36,10,FALSE),"")</f>
        <v>0</v>
      </c>
      <c r="M39" s="135">
        <f>IFERROR(VLOOKUP(C39,'03_TCT MAQUEDA'!$D$6:$O$36,12,FALSE),"")</f>
        <v>6</v>
      </c>
      <c r="N39" s="138">
        <f t="shared" ref="N39" si="12">(L39+M39)</f>
        <v>6</v>
      </c>
      <c r="O39" s="135">
        <v>0</v>
      </c>
      <c r="P39" s="135">
        <v>0</v>
      </c>
      <c r="Q39" s="138">
        <f t="shared" ref="Q39" si="13">(O39+P39)*3</f>
        <v>0</v>
      </c>
      <c r="R39" s="135" t="str">
        <f>IFERROR(VLOOKUP(C39,'05_RS NAVALCARNERO'!$D$6:$M$28,10,FALSE),"")</f>
        <v/>
      </c>
      <c r="S39" s="135" t="str">
        <f>IFERROR(VLOOKUP(C39,'05_RS NAVALCARNERO'!$D$6:$O$28,12,FALSE),"")</f>
        <v/>
      </c>
      <c r="T39" s="138" t="e">
        <f t="shared" ref="T39" si="14">(R39+S39)*2</f>
        <v>#VALUE!</v>
      </c>
      <c r="U39" s="135" t="str">
        <f>IFERROR(VLOOKUP(C39,'06_TCT NUEVO BAZTÁN'!$D$6:$M$28,10,FALSE),"")</f>
        <v/>
      </c>
      <c r="V39" s="135" t="str">
        <f>IFERROR(VLOOKUP(C39,'06_TCT NUEVO BAZTÁN'!$D$6:$O$28,12,FALSE),"")</f>
        <v/>
      </c>
      <c r="W39" s="138" t="e">
        <f t="shared" ref="W39" si="15">(U39+V39)</f>
        <v>#VALUE!</v>
      </c>
      <c r="X39" s="139" t="e">
        <f t="shared" ref="X39" si="16">H39+K39+N39+Q39+T39+W39</f>
        <v>#VALUE!</v>
      </c>
      <c r="Y39" s="140" t="str">
        <f t="shared" ref="Y39" si="17">IF(Z39&gt;=3,"Sí","No")</f>
        <v>Sí</v>
      </c>
      <c r="Z39" s="141">
        <f t="shared" ref="Z39" si="18">COUNTA(H39,K39,N39,Q39,T39,W39)</f>
        <v>6</v>
      </c>
    </row>
    <row r="40" spans="2:28" ht="13" x14ac:dyDescent="0.3">
      <c r="B40" s="133"/>
      <c r="C40" s="142" t="s">
        <v>680</v>
      </c>
      <c r="D40" s="482">
        <v>3</v>
      </c>
      <c r="E40" s="482">
        <v>2</v>
      </c>
      <c r="F40" s="135" t="str">
        <f>IFERROR(VLOOKUP(C40,'01_RS ALCARRIA'!$D$6:$M$36,10,FALSE),"")</f>
        <v/>
      </c>
      <c r="G40" s="135" t="str">
        <f>IFERROR(VLOOKUP(C40,'01_RS ALCARRIA'!$D$6:$O$36,12,FALSE),"")</f>
        <v/>
      </c>
      <c r="H40" s="138" t="e">
        <f t="shared" ref="H40" si="19">(F40+G40)*2</f>
        <v>#VALUE!</v>
      </c>
      <c r="I40" s="135" t="str">
        <f>IFERROR(VLOOKUP(C40,'02_TCT GUADAMUR'!$D$6:$M$36,10,FALSE),"")</f>
        <v/>
      </c>
      <c r="J40" s="135" t="str">
        <f>IFERROR(VLOOKUP(C40,'02_TCT GUADAMUR'!$D$6:$O$36,12,FALSE),"")</f>
        <v/>
      </c>
      <c r="K40" s="138" t="e">
        <f t="shared" ref="K40" si="20">(I40+J40)</f>
        <v>#VALUE!</v>
      </c>
      <c r="L40" s="135">
        <v>0</v>
      </c>
      <c r="M40" s="135">
        <v>0</v>
      </c>
      <c r="N40" s="138">
        <f t="shared" ref="N40" si="21">(L40+M40)</f>
        <v>0</v>
      </c>
      <c r="O40" s="135">
        <v>0</v>
      </c>
      <c r="P40" s="135">
        <v>0</v>
      </c>
      <c r="Q40" s="138">
        <f t="shared" ref="Q40" si="22">(O40+P40)*3</f>
        <v>0</v>
      </c>
      <c r="R40" s="135" t="str">
        <f>IFERROR(VLOOKUP(C40,'05_RS NAVALCARNERO'!$D$6:$M$28,10,FALSE),"")</f>
        <v/>
      </c>
      <c r="S40" s="135" t="str">
        <f>IFERROR(VLOOKUP(C40,'05_RS NAVALCARNERO'!$D$6:$O$28,12,FALSE),"")</f>
        <v/>
      </c>
      <c r="T40" s="138" t="e">
        <f t="shared" ref="T40" si="23">(R40+S40)*2</f>
        <v>#VALUE!</v>
      </c>
      <c r="U40" s="135" t="str">
        <f>IFERROR(VLOOKUP(C40,'06_TCT NUEVO BAZTÁN'!$D$6:$M$28,10,FALSE),"")</f>
        <v/>
      </c>
      <c r="V40" s="135" t="str">
        <f>IFERROR(VLOOKUP(C40,'06_TCT NUEVO BAZTÁN'!$D$6:$O$28,12,FALSE),"")</f>
        <v/>
      </c>
      <c r="W40" s="138" t="e">
        <f t="shared" ref="W40" si="24">(U40+V40)</f>
        <v>#VALUE!</v>
      </c>
      <c r="X40" s="139" t="e">
        <f t="shared" ref="X40" si="25">H40+K40+N40+Q40+T40+W40</f>
        <v>#VALUE!</v>
      </c>
      <c r="Y40" s="240"/>
      <c r="Z40" s="127"/>
    </row>
    <row r="41" spans="2:28" ht="13" x14ac:dyDescent="0.3">
      <c r="B41" s="133"/>
      <c r="C41" s="142" t="s">
        <v>683</v>
      </c>
      <c r="D41" s="482">
        <v>4</v>
      </c>
      <c r="E41" s="482">
        <v>2</v>
      </c>
      <c r="F41" s="135" t="str">
        <f>IFERROR(VLOOKUP(C41,'01_RS ALCARRIA'!$D$6:$M$36,10,FALSE),"")</f>
        <v/>
      </c>
      <c r="G41" s="135" t="str">
        <f>IFERROR(VLOOKUP(C41,'01_RS ALCARRIA'!$D$6:$O$36,12,FALSE),"")</f>
        <v/>
      </c>
      <c r="H41" s="138" t="e">
        <f t="shared" ref="H41" si="26">(F41+G41)*2</f>
        <v>#VALUE!</v>
      </c>
      <c r="I41" s="135" t="str">
        <f>IFERROR(VLOOKUP(C41,'02_TCT GUADAMUR'!$D$6:$M$36,10,FALSE),"")</f>
        <v/>
      </c>
      <c r="J41" s="135" t="str">
        <f>IFERROR(VLOOKUP(C41,'02_TCT GUADAMUR'!$D$6:$O$36,12,FALSE),"")</f>
        <v/>
      </c>
      <c r="K41" s="138" t="e">
        <f t="shared" ref="K41" si="27">(I41+J41)</f>
        <v>#VALUE!</v>
      </c>
      <c r="L41" s="135">
        <f>IFERROR(VLOOKUP(C41,'03_TCT MAQUEDA'!$D$6:$M$36,10,FALSE),"")</f>
        <v>0</v>
      </c>
      <c r="M41" s="135">
        <f>IFERROR(VLOOKUP(C41,'03_TCT MAQUEDA'!$D$6:$O$36,12,FALSE),"")</f>
        <v>5</v>
      </c>
      <c r="N41" s="138">
        <f t="shared" ref="N41" si="28">(L41+M41)</f>
        <v>5</v>
      </c>
      <c r="O41" s="135">
        <v>0</v>
      </c>
      <c r="P41" s="135">
        <v>0</v>
      </c>
      <c r="Q41" s="138">
        <f t="shared" ref="Q41" si="29">(O41+P41)*3</f>
        <v>0</v>
      </c>
      <c r="R41" s="135" t="str">
        <f>IFERROR(VLOOKUP(C41,'05_RS NAVALCARNERO'!$D$6:$M$28,10,FALSE),"")</f>
        <v/>
      </c>
      <c r="S41" s="135" t="str">
        <f>IFERROR(VLOOKUP(C41,'05_RS NAVALCARNERO'!$D$6:$O$28,12,FALSE),"")</f>
        <v/>
      </c>
      <c r="T41" s="138" t="e">
        <f t="shared" ref="T41" si="30">(R41+S41)*2</f>
        <v>#VALUE!</v>
      </c>
      <c r="U41" s="135" t="str">
        <f>IFERROR(VLOOKUP(C41,'06_TCT NUEVO BAZTÁN'!$D$6:$M$28,10,FALSE),"")</f>
        <v/>
      </c>
      <c r="V41" s="135" t="str">
        <f>IFERROR(VLOOKUP(C41,'06_TCT NUEVO BAZTÁN'!$D$6:$O$28,12,FALSE),"")</f>
        <v/>
      </c>
      <c r="W41" s="138" t="e">
        <f t="shared" ref="W41" si="31">(U41+V41)</f>
        <v>#VALUE!</v>
      </c>
      <c r="X41" s="139" t="e">
        <f t="shared" ref="X41" si="32">H41+K41+N41+Q41+T41+W41</f>
        <v>#VALUE!</v>
      </c>
      <c r="Y41" s="240"/>
      <c r="Z41" s="127"/>
    </row>
    <row r="42" spans="2:28" ht="13" x14ac:dyDescent="0.3">
      <c r="B42" s="133"/>
      <c r="C42" s="142" t="s">
        <v>695</v>
      </c>
      <c r="D42" s="227">
        <v>1</v>
      </c>
      <c r="E42" s="227">
        <v>4</v>
      </c>
      <c r="F42" s="135" t="str">
        <f>IFERROR(VLOOKUP(C42,'01_RS ALCARRIA'!$D$6:$M$36,10,FALSE),"")</f>
        <v/>
      </c>
      <c r="G42" s="135" t="str">
        <f>IFERROR(VLOOKUP(C42,'01_RS ALCARRIA'!$D$6:$O$36,12,FALSE),"")</f>
        <v/>
      </c>
      <c r="H42" s="138" t="e">
        <f t="shared" ref="H42" si="33">(F42+G42)*2</f>
        <v>#VALUE!</v>
      </c>
      <c r="I42" s="135" t="str">
        <f>IFERROR(VLOOKUP(C42,'02_TCT GUADAMUR'!$D$6:$M$36,10,FALSE),"")</f>
        <v/>
      </c>
      <c r="J42" s="135" t="str">
        <f>IFERROR(VLOOKUP(C42,'02_TCT GUADAMUR'!$D$6:$O$36,12,FALSE),"")</f>
        <v/>
      </c>
      <c r="K42" s="138" t="e">
        <f t="shared" ref="K42" si="34">(I42+J42)</f>
        <v>#VALUE!</v>
      </c>
      <c r="L42" s="135">
        <f>IFERROR(VLOOKUP(C42,'03_TCT MAQUEDA'!$D$6:$M$36,10,FALSE),"")</f>
        <v>25</v>
      </c>
      <c r="M42" s="135">
        <f>IFERROR(VLOOKUP(C42,'03_TCT MAQUEDA'!$D$6:$O$36,12,FALSE),"")</f>
        <v>10</v>
      </c>
      <c r="N42" s="138">
        <f t="shared" ref="N42" si="35">(L42+M42)</f>
        <v>35</v>
      </c>
      <c r="O42" s="135">
        <v>0</v>
      </c>
      <c r="P42" s="135">
        <v>0</v>
      </c>
      <c r="Q42" s="138">
        <f t="shared" ref="Q42" si="36">(O42+P42)*3</f>
        <v>0</v>
      </c>
      <c r="R42" s="135" t="str">
        <f>IFERROR(VLOOKUP(C42,'05_RS NAVALCARNERO'!$D$6:$M$28,10,FALSE),"")</f>
        <v/>
      </c>
      <c r="S42" s="135" t="str">
        <f>IFERROR(VLOOKUP(C42,'05_RS NAVALCARNERO'!$D$6:$O$28,12,FALSE),"")</f>
        <v/>
      </c>
      <c r="T42" s="138" t="e">
        <f t="shared" ref="T42" si="37">(R42+S42)*2</f>
        <v>#VALUE!</v>
      </c>
      <c r="U42" s="135" t="str">
        <f>IFERROR(VLOOKUP(C42,'06_TCT NUEVO BAZTÁN'!$D$6:$M$28,10,FALSE),"")</f>
        <v/>
      </c>
      <c r="V42" s="135" t="str">
        <f>IFERROR(VLOOKUP(C42,'06_TCT NUEVO BAZTÁN'!$D$6:$O$28,12,FALSE),"")</f>
        <v/>
      </c>
      <c r="W42" s="138" t="e">
        <f t="shared" ref="W42" si="38">(U42+V42)</f>
        <v>#VALUE!</v>
      </c>
      <c r="X42" s="139" t="e">
        <f t="shared" ref="X42" si="39">H42+K42+N42+Q42+T42+W42</f>
        <v>#VALUE!</v>
      </c>
      <c r="Y42" s="240"/>
      <c r="Z42" s="127"/>
    </row>
    <row r="43" spans="2:28" ht="13" x14ac:dyDescent="0.3">
      <c r="B43" s="133"/>
      <c r="C43" s="142" t="s">
        <v>281</v>
      </c>
      <c r="D43" s="227">
        <v>1</v>
      </c>
      <c r="E43" s="227">
        <v>4</v>
      </c>
      <c r="F43" s="135" t="str">
        <f>IFERROR(VLOOKUP(C43,'01_RS ALCARRIA'!$D$6:$M$36,10,FALSE),"")</f>
        <v/>
      </c>
      <c r="G43" s="135" t="str">
        <f>IFERROR(VLOOKUP(C43,'01_RS ALCARRIA'!$D$6:$O$36,12,FALSE),"")</f>
        <v/>
      </c>
      <c r="H43" s="138" t="e">
        <f t="shared" ref="H43" si="40">(F43+G43)*2</f>
        <v>#VALUE!</v>
      </c>
      <c r="I43" s="135" t="str">
        <f>IFERROR(VLOOKUP(C43,'02_TCT GUADAMUR'!$D$6:$M$36,10,FALSE),"")</f>
        <v/>
      </c>
      <c r="J43" s="135" t="str">
        <f>IFERROR(VLOOKUP(C43,'02_TCT GUADAMUR'!$D$6:$O$36,12,FALSE),"")</f>
        <v/>
      </c>
      <c r="K43" s="138" t="e">
        <f t="shared" ref="K43" si="41">(I43+J43)</f>
        <v>#VALUE!</v>
      </c>
      <c r="L43" s="135">
        <f>IFERROR(VLOOKUP(C43,'03_TCT MAQUEDA'!$D$6:$M$36,10,FALSE),"")</f>
        <v>20</v>
      </c>
      <c r="M43" s="135">
        <f>IFERROR(VLOOKUP(C43,'03_TCT MAQUEDA'!$D$6:$O$36,12,FALSE),"")</f>
        <v>8</v>
      </c>
      <c r="N43" s="138">
        <f t="shared" ref="N43" si="42">(L43+M43)</f>
        <v>28</v>
      </c>
      <c r="O43" s="135">
        <v>0</v>
      </c>
      <c r="P43" s="135">
        <v>0</v>
      </c>
      <c r="Q43" s="138">
        <f t="shared" ref="Q43" si="43">(O43+P43)*3</f>
        <v>0</v>
      </c>
      <c r="R43" s="135" t="str">
        <f>IFERROR(VLOOKUP(C43,'05_RS NAVALCARNERO'!$D$6:$M$28,10,FALSE),"")</f>
        <v/>
      </c>
      <c r="S43" s="135" t="str">
        <f>IFERROR(VLOOKUP(C43,'05_RS NAVALCARNERO'!$D$6:$O$28,12,FALSE),"")</f>
        <v/>
      </c>
      <c r="T43" s="138" t="e">
        <f t="shared" ref="T43" si="44">(R43+S43)*2</f>
        <v>#VALUE!</v>
      </c>
      <c r="U43" s="135" t="str">
        <f>IFERROR(VLOOKUP(C43,'06_TCT NUEVO BAZTÁN'!$D$6:$M$28,10,FALSE),"")</f>
        <v/>
      </c>
      <c r="V43" s="135" t="str">
        <f>IFERROR(VLOOKUP(C43,'06_TCT NUEVO BAZTÁN'!$D$6:$O$28,12,FALSE),"")</f>
        <v/>
      </c>
      <c r="W43" s="138" t="e">
        <f t="shared" ref="W43" si="45">(U43+V43)</f>
        <v>#VALUE!</v>
      </c>
      <c r="X43" s="139" t="e">
        <f t="shared" ref="X43" si="46">H43+K43+N43+Q43+T43+W43</f>
        <v>#VALUE!</v>
      </c>
      <c r="Y43" s="240"/>
      <c r="Z43" s="127"/>
    </row>
    <row r="44" spans="2:28" ht="13" x14ac:dyDescent="0.3">
      <c r="B44" s="133"/>
      <c r="C44" s="142" t="s">
        <v>698</v>
      </c>
      <c r="D44" s="227">
        <v>5</v>
      </c>
      <c r="E44" s="227">
        <v>2</v>
      </c>
      <c r="F44" s="135" t="str">
        <f>IFERROR(VLOOKUP(C44,'01_RS ALCARRIA'!$D$6:$M$36,10,FALSE),"")</f>
        <v/>
      </c>
      <c r="G44" s="135" t="str">
        <f>IFERROR(VLOOKUP(C44,'01_RS ALCARRIA'!$D$6:$O$36,12,FALSE),"")</f>
        <v/>
      </c>
      <c r="H44" s="138" t="e">
        <f t="shared" ref="H44" si="47">(F44+G44)*2</f>
        <v>#VALUE!</v>
      </c>
      <c r="I44" s="135" t="str">
        <f>IFERROR(VLOOKUP(C44,'02_TCT GUADAMUR'!$D$6:$M$36,10,FALSE),"")</f>
        <v/>
      </c>
      <c r="J44" s="135" t="str">
        <f>IFERROR(VLOOKUP(C44,'02_TCT GUADAMUR'!$D$6:$O$36,12,FALSE),"")</f>
        <v/>
      </c>
      <c r="K44" s="138" t="e">
        <f t="shared" ref="K44" si="48">(I44+J44)</f>
        <v>#VALUE!</v>
      </c>
      <c r="L44" s="135">
        <f>IFERROR(VLOOKUP(C44,'03_TCT MAQUEDA'!$D$6:$M$36,10,FALSE),"")</f>
        <v>3</v>
      </c>
      <c r="M44" s="284">
        <f>IFERROR(VLOOKUP(C44,'03_TCT MAQUEDA'!$D$6:$O$36,12,FALSE),"")/2</f>
        <v>4</v>
      </c>
      <c r="N44" s="138">
        <f t="shared" ref="N44" si="49">(L44+M44)</f>
        <v>7</v>
      </c>
      <c r="O44" s="135">
        <v>0</v>
      </c>
      <c r="P44" s="135">
        <v>0</v>
      </c>
      <c r="Q44" s="138">
        <f t="shared" ref="Q44" si="50">(O44+P44)*3</f>
        <v>0</v>
      </c>
      <c r="R44" s="135" t="str">
        <f>IFERROR(VLOOKUP(C44,'05_RS NAVALCARNERO'!$D$6:$M$28,10,FALSE),"")</f>
        <v/>
      </c>
      <c r="S44" s="135" t="str">
        <f>IFERROR(VLOOKUP(C44,'05_RS NAVALCARNERO'!$D$6:$O$28,12,FALSE),"")</f>
        <v/>
      </c>
      <c r="T44" s="138" t="e">
        <f t="shared" ref="T44" si="51">(R44+S44)*2</f>
        <v>#VALUE!</v>
      </c>
      <c r="U44" s="135" t="str">
        <f>IFERROR(VLOOKUP(C44,'06_TCT NUEVO BAZTÁN'!$D$6:$M$28,10,FALSE),"")</f>
        <v/>
      </c>
      <c r="V44" s="135" t="str">
        <f>IFERROR(VLOOKUP(C44,'06_TCT NUEVO BAZTÁN'!$D$6:$O$28,12,FALSE),"")</f>
        <v/>
      </c>
      <c r="W44" s="138" t="e">
        <f t="shared" ref="W44" si="52">(U44+V44)</f>
        <v>#VALUE!</v>
      </c>
      <c r="X44" s="139" t="e">
        <f t="shared" ref="X44" si="53">H44+K44+N44+Q44+T44+W44</f>
        <v>#VALUE!</v>
      </c>
      <c r="Y44" s="240"/>
      <c r="Z44" s="127"/>
    </row>
    <row r="45" spans="2:28" ht="13" x14ac:dyDescent="0.3">
      <c r="B45" s="133"/>
      <c r="C45" s="142" t="s">
        <v>410</v>
      </c>
      <c r="D45" s="227">
        <v>3</v>
      </c>
      <c r="E45" s="227">
        <v>2</v>
      </c>
      <c r="F45" s="135" t="str">
        <f>IFERROR(VLOOKUP(C45,'01_RS ALCARRIA'!$D$6:$M$36,10,FALSE),"")</f>
        <v/>
      </c>
      <c r="G45" s="135" t="str">
        <f>IFERROR(VLOOKUP(C45,'01_RS ALCARRIA'!$D$6:$O$36,12,FALSE),"")</f>
        <v/>
      </c>
      <c r="H45" s="138" t="e">
        <f t="shared" ref="H45" si="54">(F45+G45)*2</f>
        <v>#VALUE!</v>
      </c>
      <c r="I45" s="135" t="str">
        <f>IFERROR(VLOOKUP(C45,'02_TCT GUADAMUR'!$D$6:$M$36,10,FALSE),"")</f>
        <v/>
      </c>
      <c r="J45" s="135" t="str">
        <f>IFERROR(VLOOKUP(C45,'02_TCT GUADAMUR'!$D$6:$O$36,12,FALSE),"")</f>
        <v/>
      </c>
      <c r="K45" s="138" t="e">
        <f t="shared" ref="K45" si="55">(I45+J45)</f>
        <v>#VALUE!</v>
      </c>
      <c r="L45" s="135">
        <v>0</v>
      </c>
      <c r="M45" s="135">
        <v>0</v>
      </c>
      <c r="N45" s="138">
        <f t="shared" ref="N45" si="56">(L45+M45)</f>
        <v>0</v>
      </c>
      <c r="O45" s="135">
        <v>0</v>
      </c>
      <c r="P45" s="135">
        <v>0</v>
      </c>
      <c r="Q45" s="138">
        <f t="shared" ref="Q45" si="57">(O45+P45)*3</f>
        <v>0</v>
      </c>
      <c r="R45" s="135" t="str">
        <f>IFERROR(VLOOKUP(C45,'05_RS NAVALCARNERO'!$D$6:$M$28,10,FALSE),"")</f>
        <v/>
      </c>
      <c r="S45" s="135" t="str">
        <f>IFERROR(VLOOKUP(C45,'05_RS NAVALCARNERO'!$D$6:$O$28,12,FALSE),"")</f>
        <v/>
      </c>
      <c r="T45" s="138" t="e">
        <f t="shared" ref="T45" si="58">(R45+S45)*2</f>
        <v>#VALUE!</v>
      </c>
      <c r="U45" s="135" t="str">
        <f>IFERROR(VLOOKUP(C45,'06_TCT NUEVO BAZTÁN'!$D$6:$M$28,10,FALSE),"")</f>
        <v/>
      </c>
      <c r="V45" s="135" t="str">
        <f>IFERROR(VLOOKUP(C45,'06_TCT NUEVO BAZTÁN'!$D$6:$O$28,12,FALSE),"")</f>
        <v/>
      </c>
      <c r="W45" s="138" t="e">
        <f t="shared" ref="W45" si="59">(U45+V45)</f>
        <v>#VALUE!</v>
      </c>
      <c r="X45" s="139" t="e">
        <f t="shared" ref="X45" si="60">H45+K45+N45+Q45+T45+W45</f>
        <v>#VALUE!</v>
      </c>
      <c r="Y45" s="240"/>
      <c r="Z45" s="127"/>
    </row>
    <row r="46" spans="2:28" ht="13" x14ac:dyDescent="0.3">
      <c r="B46" s="133"/>
      <c r="C46" s="142" t="s">
        <v>702</v>
      </c>
      <c r="D46" s="227">
        <v>3</v>
      </c>
      <c r="E46" s="227">
        <v>2</v>
      </c>
      <c r="F46" s="135" t="str">
        <f>IFERROR(VLOOKUP(C46,'01_RS ALCARRIA'!$D$6:$M$36,10,FALSE),"")</f>
        <v/>
      </c>
      <c r="G46" s="135" t="str">
        <f>IFERROR(VLOOKUP(C46,'01_RS ALCARRIA'!$D$6:$O$36,12,FALSE),"")</f>
        <v/>
      </c>
      <c r="H46" s="138" t="e">
        <f t="shared" ref="H46" si="61">(F46+G46)*2</f>
        <v>#VALUE!</v>
      </c>
      <c r="I46" s="135" t="str">
        <f>IFERROR(VLOOKUP(C46,'02_TCT GUADAMUR'!$D$6:$M$36,10,FALSE),"")</f>
        <v/>
      </c>
      <c r="J46" s="135" t="str">
        <f>IFERROR(VLOOKUP(C46,'02_TCT GUADAMUR'!$D$6:$O$36,12,FALSE),"")</f>
        <v/>
      </c>
      <c r="K46" s="138" t="e">
        <f t="shared" ref="K46" si="62">(I46+J46)</f>
        <v>#VALUE!</v>
      </c>
      <c r="L46" s="135">
        <v>0</v>
      </c>
      <c r="M46" s="135">
        <v>0</v>
      </c>
      <c r="N46" s="138">
        <f t="shared" ref="N46" si="63">(L46+M46)</f>
        <v>0</v>
      </c>
      <c r="O46" s="135">
        <v>0</v>
      </c>
      <c r="P46" s="135">
        <v>0</v>
      </c>
      <c r="Q46" s="138">
        <f t="shared" ref="Q46" si="64">(O46+P46)*3</f>
        <v>0</v>
      </c>
      <c r="R46" s="135" t="str">
        <f>IFERROR(VLOOKUP(C46,'05_RS NAVALCARNERO'!$D$6:$M$28,10,FALSE),"")</f>
        <v/>
      </c>
      <c r="S46" s="135" t="str">
        <f>IFERROR(VLOOKUP(C46,'05_RS NAVALCARNERO'!$D$6:$O$28,12,FALSE),"")</f>
        <v/>
      </c>
      <c r="T46" s="138" t="e">
        <f t="shared" ref="T46" si="65">(R46+S46)*2</f>
        <v>#VALUE!</v>
      </c>
      <c r="U46" s="135" t="str">
        <f>IFERROR(VLOOKUP(C46,'06_TCT NUEVO BAZTÁN'!$D$6:$M$28,10,FALSE),"")</f>
        <v/>
      </c>
      <c r="V46" s="135" t="str">
        <f>IFERROR(VLOOKUP(C46,'06_TCT NUEVO BAZTÁN'!$D$6:$O$28,12,FALSE),"")</f>
        <v/>
      </c>
      <c r="W46" s="138" t="e">
        <f t="shared" ref="W46" si="66">(U46+V46)</f>
        <v>#VALUE!</v>
      </c>
      <c r="X46" s="139" t="e">
        <f t="shared" ref="X46" si="67">H46+K46+N46+Q46+T46+W46</f>
        <v>#VALUE!</v>
      </c>
      <c r="Y46" s="240"/>
      <c r="Z46" s="127"/>
    </row>
    <row r="47" spans="2:28" ht="13" x14ac:dyDescent="0.3">
      <c r="B47" s="152"/>
      <c r="C47" s="155"/>
      <c r="D47" s="512"/>
      <c r="E47" s="512"/>
      <c r="F47" s="154"/>
      <c r="G47" s="154"/>
      <c r="H47" s="513"/>
      <c r="I47" s="154"/>
      <c r="J47" s="154"/>
      <c r="K47" s="513"/>
      <c r="L47" s="154"/>
      <c r="M47" s="154"/>
      <c r="N47" s="513"/>
      <c r="O47" s="154"/>
      <c r="P47" s="154"/>
      <c r="Q47" s="513"/>
      <c r="R47" s="154"/>
      <c r="S47" s="154"/>
      <c r="T47" s="513"/>
      <c r="U47" s="154"/>
      <c r="V47" s="154"/>
      <c r="W47" s="513"/>
      <c r="X47" s="506"/>
      <c r="Y47" s="240"/>
      <c r="Z47" s="127"/>
    </row>
    <row r="48" spans="2:28" x14ac:dyDescent="0.3">
      <c r="B48" s="156"/>
      <c r="C48" s="3"/>
      <c r="D48" s="3"/>
      <c r="E48" s="3"/>
      <c r="F48" s="3"/>
      <c r="G48" s="3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2:29" ht="12" x14ac:dyDescent="0.3">
      <c r="B49" s="156"/>
      <c r="C49" s="3"/>
      <c r="D49" s="284"/>
      <c r="E49" s="285" t="s">
        <v>534</v>
      </c>
      <c r="F49" s="3"/>
      <c r="G49" s="3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2:29" ht="2.5" customHeight="1" x14ac:dyDescent="0.3">
      <c r="B50" s="1"/>
      <c r="C50" s="156"/>
      <c r="D50" s="2"/>
      <c r="E50" s="2"/>
      <c r="F50" s="2"/>
      <c r="G50" s="2"/>
      <c r="H50" s="3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5"/>
      <c r="AC50" s="2"/>
    </row>
    <row r="51" spans="2:29" ht="12.75" customHeight="1" x14ac:dyDescent="0.3">
      <c r="B51" s="1"/>
      <c r="C51" s="236" t="s">
        <v>510</v>
      </c>
      <c r="D51" s="237" t="s">
        <v>273</v>
      </c>
      <c r="E51" s="2"/>
      <c r="F51" s="2"/>
      <c r="G51" s="2"/>
      <c r="H51" s="3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5"/>
      <c r="AC51" s="2"/>
    </row>
    <row r="52" spans="2:29" ht="12.75" customHeight="1" x14ac:dyDescent="0.3">
      <c r="B52" s="1"/>
      <c r="C52" s="236"/>
      <c r="D52" s="155"/>
      <c r="E52" s="2"/>
      <c r="F52" s="2"/>
      <c r="G52" s="2"/>
      <c r="H52" s="3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5"/>
      <c r="AC52" s="2"/>
    </row>
    <row r="53" spans="2:29" ht="39" customHeight="1" x14ac:dyDescent="0.55000000000000004">
      <c r="B53" s="164" t="s">
        <v>516</v>
      </c>
      <c r="C53" s="165"/>
      <c r="D53" s="165"/>
      <c r="E53" s="165"/>
      <c r="F53" s="165"/>
      <c r="G53" s="165"/>
      <c r="H53" s="165"/>
      <c r="I53" s="165"/>
      <c r="J53" s="165"/>
      <c r="K53" s="165"/>
      <c r="L53" s="165"/>
      <c r="M53" s="165"/>
      <c r="N53" s="165"/>
      <c r="O53" s="165"/>
      <c r="P53" s="165"/>
      <c r="Q53" s="165"/>
      <c r="R53" s="165"/>
      <c r="S53" s="165"/>
      <c r="T53" s="165"/>
      <c r="U53" s="165"/>
      <c r="V53" s="165"/>
      <c r="W53" s="165"/>
      <c r="X53" s="165"/>
    </row>
    <row r="54" spans="2:29" ht="37.5" customHeight="1" x14ac:dyDescent="0.3">
      <c r="B54" s="166" t="s">
        <v>337</v>
      </c>
      <c r="C54" s="167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  <c r="V54" s="167"/>
      <c r="W54" s="167"/>
      <c r="X54" s="167"/>
      <c r="Y54" s="30"/>
      <c r="Z54" s="30"/>
    </row>
    <row r="55" spans="2:29" ht="12.75" customHeight="1" x14ac:dyDescent="0.3">
      <c r="B55" s="162"/>
      <c r="C55" s="168"/>
      <c r="D55" s="161"/>
      <c r="E55" s="161"/>
      <c r="F55" s="222" t="s">
        <v>220</v>
      </c>
      <c r="G55" s="223"/>
      <c r="H55" s="224"/>
      <c r="I55" s="222" t="s">
        <v>663</v>
      </c>
      <c r="J55" s="225"/>
      <c r="K55" s="226"/>
      <c r="L55" s="222" t="s">
        <v>532</v>
      </c>
      <c r="M55" s="225"/>
      <c r="N55" s="226"/>
      <c r="O55" s="222" t="s">
        <v>526</v>
      </c>
      <c r="P55" s="225"/>
      <c r="Q55" s="226"/>
      <c r="R55" s="222" t="s">
        <v>287</v>
      </c>
      <c r="S55" s="225"/>
      <c r="T55" s="226"/>
      <c r="U55" s="413" t="s">
        <v>527</v>
      </c>
      <c r="V55" s="226"/>
      <c r="W55" s="226"/>
      <c r="X55" s="161" t="s">
        <v>213</v>
      </c>
      <c r="Y55" s="30"/>
      <c r="Z55" s="30"/>
    </row>
    <row r="56" spans="2:29" ht="12.75" customHeight="1" x14ac:dyDescent="0.3">
      <c r="B56" s="159" t="s">
        <v>0</v>
      </c>
      <c r="C56" s="170" t="s">
        <v>1</v>
      </c>
      <c r="D56" s="160" t="s">
        <v>2</v>
      </c>
      <c r="E56" s="160" t="s">
        <v>3</v>
      </c>
      <c r="F56" s="217" t="s">
        <v>523</v>
      </c>
      <c r="G56" s="218"/>
      <c r="H56" s="219"/>
      <c r="I56" s="217" t="s">
        <v>525</v>
      </c>
      <c r="J56" s="220"/>
      <c r="K56" s="221"/>
      <c r="L56" s="217" t="s">
        <v>664</v>
      </c>
      <c r="M56" s="220"/>
      <c r="N56" s="221"/>
      <c r="O56" s="217" t="s">
        <v>529</v>
      </c>
      <c r="P56" s="220"/>
      <c r="Q56" s="221"/>
      <c r="R56" s="217" t="s">
        <v>530</v>
      </c>
      <c r="S56" s="220"/>
      <c r="T56" s="221"/>
      <c r="U56" s="414" t="s">
        <v>528</v>
      </c>
      <c r="V56" s="255"/>
      <c r="W56" s="415"/>
      <c r="X56" s="160" t="s">
        <v>9</v>
      </c>
      <c r="Y56" s="519" t="s">
        <v>223</v>
      </c>
      <c r="Z56" s="521" t="s">
        <v>4</v>
      </c>
    </row>
    <row r="57" spans="2:29" ht="12.75" customHeight="1" thickBot="1" x14ac:dyDescent="0.35">
      <c r="B57" s="163"/>
      <c r="C57" s="169"/>
      <c r="D57" s="157"/>
      <c r="E57" s="476"/>
      <c r="F57" s="131" t="s">
        <v>33</v>
      </c>
      <c r="G57" s="131" t="s">
        <v>34</v>
      </c>
      <c r="H57" s="132" t="s">
        <v>35</v>
      </c>
      <c r="I57" s="131" t="s">
        <v>33</v>
      </c>
      <c r="J57" s="131" t="s">
        <v>34</v>
      </c>
      <c r="K57" s="132" t="s">
        <v>35</v>
      </c>
      <c r="L57" s="131" t="s">
        <v>33</v>
      </c>
      <c r="M57" s="131" t="s">
        <v>34</v>
      </c>
      <c r="N57" s="132" t="s">
        <v>35</v>
      </c>
      <c r="O57" s="131" t="s">
        <v>33</v>
      </c>
      <c r="P57" s="131" t="s">
        <v>34</v>
      </c>
      <c r="Q57" s="132" t="s">
        <v>35</v>
      </c>
      <c r="R57" s="131" t="s">
        <v>33</v>
      </c>
      <c r="S57" s="131" t="s">
        <v>34</v>
      </c>
      <c r="T57" s="132" t="s">
        <v>35</v>
      </c>
      <c r="U57" s="131" t="s">
        <v>33</v>
      </c>
      <c r="V57" s="131" t="s">
        <v>34</v>
      </c>
      <c r="W57" s="132" t="s">
        <v>35</v>
      </c>
      <c r="X57" s="157"/>
      <c r="Y57" s="520"/>
      <c r="Z57" s="522"/>
    </row>
    <row r="58" spans="2:29" ht="12.75" customHeight="1" thickBot="1" x14ac:dyDescent="0.35">
      <c r="B58" s="133">
        <v>1</v>
      </c>
      <c r="C58" s="142" t="s">
        <v>574</v>
      </c>
      <c r="D58" s="478">
        <f>IFERROR(VLOOKUP(C58,Tabla15[[Piloto]:[Puntos clase]],7, FALSE), " ")</f>
        <v>2</v>
      </c>
      <c r="E58" s="477" t="str">
        <f>LEFT(AB58,LEN(AB58)-2)</f>
        <v>2</v>
      </c>
      <c r="F58" s="475">
        <f>IFERROR(VLOOKUP(C58,'01_RS ALCARRIA'!$D$6:$M$36,10,FALSE),"")</f>
        <v>25</v>
      </c>
      <c r="G58" s="135">
        <f>IFERROR(VLOOKUP(C58,'01_RS ALCARRIA'!$D$6:$O$36,12,FALSE),"")</f>
        <v>10</v>
      </c>
      <c r="H58" s="138">
        <f>(F58+G58)*2</f>
        <v>70</v>
      </c>
      <c r="I58" s="135">
        <f>IFERROR(VLOOKUP(C58,'02_TCT GUADAMUR'!$D$6:$M$36,10,FALSE),"")</f>
        <v>17</v>
      </c>
      <c r="J58" s="135">
        <f>IFERROR(VLOOKUP(C58,'02_TCT GUADAMUR'!$D$6:$O$36,12,FALSE),"")</f>
        <v>6</v>
      </c>
      <c r="K58" s="138">
        <f>(I58+J58)</f>
        <v>23</v>
      </c>
      <c r="L58" s="135">
        <f>IFERROR(VLOOKUP(C58,'03_TCT MAQUEDA'!$D$6:$M$36,10,FALSE),"")</f>
        <v>17</v>
      </c>
      <c r="M58" s="135">
        <f>IFERROR(VLOOKUP(C58,'03_TCT MAQUEDA'!$D$6:$O$36,12,FALSE),"")</f>
        <v>10</v>
      </c>
      <c r="N58" s="138">
        <f>(L58+M58)</f>
        <v>27</v>
      </c>
      <c r="O58" s="135" t="str">
        <f>IFERROR(VLOOKUP(C58,'04_RALLYE CAM'!$D$6:$M$36,10,FALSE),"")</f>
        <v/>
      </c>
      <c r="P58" s="135" t="str">
        <f>IFERROR(VLOOKUP(C58,'04_RALLYE CAM'!$D$6:$O$36,12,FALSE),"")</f>
        <v/>
      </c>
      <c r="Q58" s="138" t="e">
        <f>(O58+P58)*3</f>
        <v>#VALUE!</v>
      </c>
      <c r="R58" s="135" t="str">
        <f>IFERROR(VLOOKUP(C58,'05_RS NAVALCARNERO'!$D$6:$M$28,10,FALSE),"")</f>
        <v/>
      </c>
      <c r="S58" s="135" t="str">
        <f>IFERROR(VLOOKUP(C58,'05_RS NAVALCARNERO'!$D$6:$O$28,12,FALSE),"")</f>
        <v/>
      </c>
      <c r="T58" s="138" t="e">
        <f>(R58+S58)*2</f>
        <v>#VALUE!</v>
      </c>
      <c r="U58" s="135" t="str">
        <f>IFERROR(VLOOKUP(C58,'06_TCT NUEVO BAZTÁN'!$D$6:$M$28,10,FALSE),"")</f>
        <v/>
      </c>
      <c r="V58" s="135" t="str">
        <f>IFERROR(VLOOKUP(C58,'06_TCT NUEVO BAZTÁN'!$D$6:$O$28,12,FALSE),"")</f>
        <v/>
      </c>
      <c r="W58" s="138" t="e">
        <f t="shared" ref="W58:W100" si="68">(U58+V58)</f>
        <v>#VALUE!</v>
      </c>
      <c r="X58" s="139" t="e">
        <f>H58+K58+N58+Q58+T58+W58</f>
        <v>#VALUE!</v>
      </c>
      <c r="Y58" s="140" t="str">
        <f>IF(Z58&gt;=3,"Sí","No")</f>
        <v>Sí</v>
      </c>
      <c r="Z58" s="141">
        <f>COUNTA(H58,K58,N58,Q58,T58,W58)</f>
        <v>6</v>
      </c>
      <c r="AB58" s="261" t="str">
        <f>IFERROR(VLOOKUP(C58,Tabla15[[Piloto]:[Puntos clase]],6, FALSE), " ")</f>
        <v>2RM</v>
      </c>
    </row>
    <row r="59" spans="2:29" ht="12.75" customHeight="1" x14ac:dyDescent="0.3">
      <c r="B59" s="133">
        <v>2</v>
      </c>
      <c r="C59" s="134" t="s">
        <v>576</v>
      </c>
      <c r="D59" s="482">
        <f>IFERROR(VLOOKUP(C59,Tabla15[[Piloto]:[Puntos clase]],7, FALSE), " ")</f>
        <v>2</v>
      </c>
      <c r="E59" s="483" t="str">
        <f>LEFT(AB59,LEN(AB59)-2)</f>
        <v>2</v>
      </c>
      <c r="F59" s="135">
        <f>IFERROR(VLOOKUP(C59,'01_RS ALCARRIA'!$D$6:$M$36,10,FALSE),"")</f>
        <v>20</v>
      </c>
      <c r="G59" s="135">
        <f>IFERROR(VLOOKUP(C59,'01_RS ALCARRIA'!$D$6:$O$36,12,FALSE),"")</f>
        <v>8</v>
      </c>
      <c r="H59" s="138">
        <f t="shared" ref="H59:H100" si="69">(F59+G59)*2</f>
        <v>56</v>
      </c>
      <c r="I59" s="135">
        <f>IFERROR(VLOOKUP(C59,'02_TCT GUADAMUR'!$D$6:$M$36,10,FALSE),"")</f>
        <v>25</v>
      </c>
      <c r="J59" s="135">
        <f>IFERROR(VLOOKUP(C59,'02_TCT GUADAMUR'!$D$6:$O$36,12,FALSE),"")</f>
        <v>10</v>
      </c>
      <c r="K59" s="138">
        <f t="shared" ref="K59:K100" si="70">(I59+J59)</f>
        <v>35</v>
      </c>
      <c r="L59" s="135">
        <f>IFERROR(VLOOKUP(C59,'03_TCT MAQUEDA'!$D$6:$M$36,10,FALSE),"")</f>
        <v>15</v>
      </c>
      <c r="M59" s="135">
        <f>IFERROR(VLOOKUP(C59,'03_TCT MAQUEDA'!$D$6:$O$36,12,FALSE),"")</f>
        <v>8</v>
      </c>
      <c r="N59" s="138">
        <f t="shared" ref="N59:N100" si="71">(L59+M59)</f>
        <v>23</v>
      </c>
      <c r="O59" s="135" t="str">
        <f>IFERROR(VLOOKUP(C59,'04_RALLYE CAM'!$D$6:$M$36,10,FALSE),"")</f>
        <v/>
      </c>
      <c r="P59" s="135" t="str">
        <f>IFERROR(VLOOKUP(C59,'04_RALLYE CAM'!$D$6:$O$36,12,FALSE),"")</f>
        <v/>
      </c>
      <c r="Q59" s="138" t="e">
        <f t="shared" ref="Q59:Q100" si="72">(O59+P59)*3</f>
        <v>#VALUE!</v>
      </c>
      <c r="R59" s="135" t="str">
        <f>IFERROR(VLOOKUP(C59,'05_RS NAVALCARNERO'!$D$6:$M$28,10,FALSE),"")</f>
        <v/>
      </c>
      <c r="S59" s="135" t="str">
        <f>IFERROR(VLOOKUP(C59,'05_RS NAVALCARNERO'!$D$6:$O$28,12,FALSE),"")</f>
        <v/>
      </c>
      <c r="T59" s="138" t="e">
        <f t="shared" ref="T59:T100" si="73">(R59+S59)*2</f>
        <v>#VALUE!</v>
      </c>
      <c r="U59" s="135" t="str">
        <f>IFERROR(VLOOKUP(C59,'06_TCT NUEVO BAZTÁN'!$D$6:$M$28,10,FALSE),"")</f>
        <v/>
      </c>
      <c r="V59" s="135" t="str">
        <f>IFERROR(VLOOKUP(C59,'06_TCT NUEVO BAZTÁN'!$D$6:$O$28,12,FALSE),"")</f>
        <v/>
      </c>
      <c r="W59" s="138" t="e">
        <f t="shared" si="68"/>
        <v>#VALUE!</v>
      </c>
      <c r="X59" s="139" t="e">
        <f t="shared" ref="X59:X100" si="74">H59+K59+N59+Q59+T59+W59</f>
        <v>#VALUE!</v>
      </c>
      <c r="Y59" s="140" t="str">
        <f t="shared" ref="Y59:Y100" si="75">IF(Z59&gt;=3,"Sí","No")</f>
        <v>Sí</v>
      </c>
      <c r="Z59" s="141">
        <f t="shared" ref="Z59:Z100" si="76">COUNTA(H59,K59,N59,Q59,T59,W59)</f>
        <v>6</v>
      </c>
      <c r="AA59" s="5"/>
      <c r="AB59" s="261" t="str">
        <f>IFERROR(VLOOKUP(C59,Tabla15[[Piloto]:[Puntos clase]],6, FALSE), " ")</f>
        <v>2RM</v>
      </c>
      <c r="AC59" s="2"/>
    </row>
    <row r="60" spans="2:29" ht="12.75" customHeight="1" x14ac:dyDescent="0.3">
      <c r="B60" s="133">
        <v>1</v>
      </c>
      <c r="C60" s="142" t="s">
        <v>654</v>
      </c>
      <c r="D60" s="479">
        <f>IFERROR(VLOOKUP(C60,Tabla15[[Piloto]:[Puntos clase]],7, FALSE), " ")</f>
        <v>1</v>
      </c>
      <c r="E60" s="482" t="str">
        <f>LEFT(AB60,LEN(AB60)-2)</f>
        <v>4</v>
      </c>
      <c r="F60" s="135">
        <f>IFERROR(VLOOKUP(C60,'01_RS ALCARRIA'!$D$6:$M$36,10,FALSE),"")</f>
        <v>17</v>
      </c>
      <c r="G60" s="284">
        <f>IFERROR(VLOOKUP(C60,'01_RS ALCARRIA'!$D$6:$O$36,12,FALSE),"")/2</f>
        <v>5</v>
      </c>
      <c r="H60" s="138">
        <f t="shared" si="69"/>
        <v>44</v>
      </c>
      <c r="I60" s="135" t="str">
        <f>IFERROR(VLOOKUP(C60,'02_TCT GUADAMUR'!$D$6:$M$36,10,FALSE),"")</f>
        <v/>
      </c>
      <c r="J60" s="135" t="str">
        <f>IFERROR(VLOOKUP(C60,'02_TCT GUADAMUR'!$D$6:$O$36,12,FALSE),"")</f>
        <v/>
      </c>
      <c r="K60" s="138" t="e">
        <f t="shared" si="70"/>
        <v>#VALUE!</v>
      </c>
      <c r="L60" s="135" t="str">
        <f>IFERROR(VLOOKUP(C60,'03_TCT MAQUEDA'!$D$6:$M$36,10,FALSE),"")</f>
        <v/>
      </c>
      <c r="M60" s="135" t="str">
        <f>IFERROR(VLOOKUP(C60,'03_TCT MAQUEDA'!$D$6:$O$36,12,FALSE),"")</f>
        <v/>
      </c>
      <c r="N60" s="138" t="e">
        <f t="shared" si="71"/>
        <v>#VALUE!</v>
      </c>
      <c r="O60" s="135" t="str">
        <f>IFERROR(VLOOKUP(C60,'04_RALLYE CAM'!$D$6:$M$36,10,FALSE),"")</f>
        <v/>
      </c>
      <c r="P60" s="135" t="str">
        <f>IFERROR(VLOOKUP(C60,'04_RALLYE CAM'!$D$6:$O$36,12,FALSE),"")</f>
        <v/>
      </c>
      <c r="Q60" s="138" t="e">
        <f t="shared" si="72"/>
        <v>#VALUE!</v>
      </c>
      <c r="R60" s="135" t="str">
        <f>IFERROR(VLOOKUP(C60,'05_RS NAVALCARNERO'!$D$6:$M$28,10,FALSE),"")</f>
        <v/>
      </c>
      <c r="S60" s="135" t="str">
        <f>IFERROR(VLOOKUP(C60,'05_RS NAVALCARNERO'!$D$6:$O$28,12,FALSE),"")</f>
        <v/>
      </c>
      <c r="T60" s="138" t="e">
        <f t="shared" si="73"/>
        <v>#VALUE!</v>
      </c>
      <c r="U60" s="135" t="str">
        <f>IFERROR(VLOOKUP(C60,'06_TCT NUEVO BAZTÁN'!$D$6:$M$28,10,FALSE),"")</f>
        <v/>
      </c>
      <c r="V60" s="135" t="str">
        <f>IFERROR(VLOOKUP(C60,'06_TCT NUEVO BAZTÁN'!$D$6:$O$28,12,FALSE),"")</f>
        <v/>
      </c>
      <c r="W60" s="138" t="e">
        <f t="shared" si="68"/>
        <v>#VALUE!</v>
      </c>
      <c r="X60" s="139" t="e">
        <f t="shared" si="74"/>
        <v>#VALUE!</v>
      </c>
      <c r="Y60" s="140" t="str">
        <f t="shared" si="75"/>
        <v>Sí</v>
      </c>
      <c r="Z60" s="141">
        <f t="shared" si="76"/>
        <v>6</v>
      </c>
      <c r="AA60" s="5"/>
      <c r="AB60" s="261" t="str">
        <f>IFERROR(VLOOKUP(C60,Tabla15[[Piloto]:[Puntos clase]],6, FALSE), " ")</f>
        <v>4RM</v>
      </c>
      <c r="AC60" s="2"/>
    </row>
    <row r="61" spans="2:29" ht="12.75" customHeight="1" x14ac:dyDescent="0.3">
      <c r="B61" s="133">
        <v>3</v>
      </c>
      <c r="C61" s="142" t="s">
        <v>585</v>
      </c>
      <c r="D61" s="482">
        <v>2</v>
      </c>
      <c r="E61" s="482">
        <v>2</v>
      </c>
      <c r="F61" s="135">
        <f>IFERROR(VLOOKUP(C61,'01_RS ALCARRIA'!$D$6:$M$36,10,FALSE),"")</f>
        <v>15</v>
      </c>
      <c r="G61" s="135">
        <f>IFERROR(VLOOKUP(C61,'01_RS ALCARRIA'!$D$6:$O$36,12,FALSE),"")</f>
        <v>6</v>
      </c>
      <c r="H61" s="138">
        <f t="shared" si="69"/>
        <v>42</v>
      </c>
      <c r="I61" s="135" t="str">
        <f>IFERROR(VLOOKUP(C61,'02_TCT GUADAMUR'!$D$6:$M$36,10,FALSE),"")</f>
        <v/>
      </c>
      <c r="J61" s="135" t="str">
        <f>IFERROR(VLOOKUP(C61,'02_TCT GUADAMUR'!$D$6:$O$36,12,FALSE),"")</f>
        <v/>
      </c>
      <c r="K61" s="138" t="e">
        <f t="shared" si="70"/>
        <v>#VALUE!</v>
      </c>
      <c r="L61" s="135" t="str">
        <f>IFERROR(VLOOKUP(C61,'03_TCT MAQUEDA'!$D$6:$M$36,10,FALSE),"")</f>
        <v/>
      </c>
      <c r="M61" s="135" t="str">
        <f>IFERROR(VLOOKUP(C61,'03_TCT MAQUEDA'!$D$6:$O$36,12,FALSE),"")</f>
        <v/>
      </c>
      <c r="N61" s="138" t="e">
        <f t="shared" si="71"/>
        <v>#VALUE!</v>
      </c>
      <c r="O61" s="135" t="str">
        <f>IFERROR(VLOOKUP(C61,'04_RALLYE CAM'!$D$6:$M$36,10,FALSE),"")</f>
        <v/>
      </c>
      <c r="P61" s="135" t="str">
        <f>IFERROR(VLOOKUP(C61,'04_RALLYE CAM'!$D$6:$O$36,12,FALSE),"")</f>
        <v/>
      </c>
      <c r="Q61" s="138" t="e">
        <f t="shared" si="72"/>
        <v>#VALUE!</v>
      </c>
      <c r="R61" s="135" t="str">
        <f>IFERROR(VLOOKUP(C61,'05_RS NAVALCARNERO'!$D$6:$M$28,10,FALSE),"")</f>
        <v/>
      </c>
      <c r="S61" s="135" t="str">
        <f>IFERROR(VLOOKUP(C61,'05_RS NAVALCARNERO'!$D$6:$O$28,12,FALSE),"")</f>
        <v/>
      </c>
      <c r="T61" s="138" t="e">
        <f t="shared" si="73"/>
        <v>#VALUE!</v>
      </c>
      <c r="U61" s="135" t="str">
        <f>IFERROR(VLOOKUP(C61,'06_TCT NUEVO BAZTÁN'!$D$6:$M$28,10,FALSE),"")</f>
        <v/>
      </c>
      <c r="V61" s="135" t="str">
        <f>IFERROR(VLOOKUP(C61,'06_TCT NUEVO BAZTÁN'!$D$6:$O$28,12,FALSE),"")</f>
        <v/>
      </c>
      <c r="W61" s="138" t="e">
        <f t="shared" si="68"/>
        <v>#VALUE!</v>
      </c>
      <c r="X61" s="139" t="e">
        <f t="shared" si="74"/>
        <v>#VALUE!</v>
      </c>
      <c r="Y61" s="140" t="str">
        <f t="shared" si="75"/>
        <v>Sí</v>
      </c>
      <c r="Z61" s="141">
        <f t="shared" si="76"/>
        <v>6</v>
      </c>
      <c r="AA61" s="5"/>
      <c r="AB61" s="261" t="str">
        <f>IFERROR(VLOOKUP(C61,Tabla15[[Piloto]:[Puntos clase]],6, FALSE), " ")</f>
        <v>2RM</v>
      </c>
      <c r="AC61" s="2"/>
    </row>
    <row r="62" spans="2:29" ht="12.75" customHeight="1" x14ac:dyDescent="0.3">
      <c r="B62" s="133">
        <v>2</v>
      </c>
      <c r="C62" s="134" t="s">
        <v>174</v>
      </c>
      <c r="D62" s="482">
        <f>IFERROR(VLOOKUP(C62,Tabla15[[Piloto]:[Puntos clase]],7, FALSE), " ")</f>
        <v>1</v>
      </c>
      <c r="E62" s="482" t="str">
        <f t="shared" ref="E62:E71" si="77">LEFT(AB62,LEN(AB62)-2)</f>
        <v>4</v>
      </c>
      <c r="F62" s="135">
        <f>IFERROR(VLOOKUP(C62,'01_RS ALCARRIA'!$D$6:$M$36,10,FALSE),"")</f>
        <v>12</v>
      </c>
      <c r="G62" s="284">
        <f>IFERROR(VLOOKUP(C62,'01_RS ALCARRIA'!$D$6:$O$36,12,FALSE),"")/2</f>
        <v>4</v>
      </c>
      <c r="H62" s="138">
        <f t="shared" si="69"/>
        <v>32</v>
      </c>
      <c r="I62" s="135">
        <f>IFERROR(VLOOKUP(C62,'02_TCT GUADAMUR'!$D$6:$M$36,10,FALSE),"")</f>
        <v>15</v>
      </c>
      <c r="J62" s="135">
        <f>IFERROR(VLOOKUP(C62,'02_TCT GUADAMUR'!$D$6:$O$36,12,FALSE),"")</f>
        <v>10</v>
      </c>
      <c r="K62" s="138">
        <f t="shared" si="70"/>
        <v>25</v>
      </c>
      <c r="L62" s="135">
        <v>0</v>
      </c>
      <c r="M62" s="135">
        <v>0</v>
      </c>
      <c r="N62" s="138">
        <f t="shared" si="71"/>
        <v>0</v>
      </c>
      <c r="O62" s="135">
        <f>IFERROR(VLOOKUP(C62,'04_RALLYE CAM'!$D$6:$M$36,10,FALSE),"")</f>
        <v>6</v>
      </c>
      <c r="P62" s="135">
        <f>IFERROR(VLOOKUP(C62,'04_RALLYE CAM'!$D$6:$O$36,12,FALSE),"")</f>
        <v>3</v>
      </c>
      <c r="Q62" s="138">
        <f t="shared" si="72"/>
        <v>27</v>
      </c>
      <c r="R62" s="135" t="str">
        <f>IFERROR(VLOOKUP(C62,'05_RS NAVALCARNERO'!$D$6:$M$28,10,FALSE),"")</f>
        <v/>
      </c>
      <c r="S62" s="135" t="str">
        <f>IFERROR(VLOOKUP(C62,'05_RS NAVALCARNERO'!$D$6:$O$28,12,FALSE),"")</f>
        <v/>
      </c>
      <c r="T62" s="138" t="e">
        <f t="shared" si="73"/>
        <v>#VALUE!</v>
      </c>
      <c r="U62" s="135" t="str">
        <f>IFERROR(VLOOKUP(C62,'06_TCT NUEVO BAZTÁN'!$D$6:$M$28,10,FALSE),"")</f>
        <v/>
      </c>
      <c r="V62" s="135" t="str">
        <f>IFERROR(VLOOKUP(C62,'06_TCT NUEVO BAZTÁN'!$D$6:$O$28,12,FALSE),"")</f>
        <v/>
      </c>
      <c r="W62" s="138" t="e">
        <f t="shared" si="68"/>
        <v>#VALUE!</v>
      </c>
      <c r="X62" s="139" t="e">
        <f t="shared" si="74"/>
        <v>#VALUE!</v>
      </c>
      <c r="Y62" s="140" t="str">
        <f t="shared" si="75"/>
        <v>Sí</v>
      </c>
      <c r="Z62" s="141">
        <f t="shared" si="76"/>
        <v>6</v>
      </c>
      <c r="AB62" s="261" t="str">
        <f>IFERROR(VLOOKUP(C62,Tabla15[[Piloto]:[Puntos clase]],6, FALSE), " ")</f>
        <v>4RM</v>
      </c>
    </row>
    <row r="63" spans="2:29" ht="12.75" customHeight="1" x14ac:dyDescent="0.3">
      <c r="B63" s="133">
        <v>1</v>
      </c>
      <c r="C63" s="134" t="s">
        <v>368</v>
      </c>
      <c r="D63" s="479">
        <f>IFERROR(VLOOKUP(C63,Tabla15[[Piloto]:[Puntos clase]],7, FALSE), " ")</f>
        <v>3</v>
      </c>
      <c r="E63" s="482" t="str">
        <f t="shared" si="77"/>
        <v>2</v>
      </c>
      <c r="F63" s="135">
        <f>IFERROR(VLOOKUP(C63,'01_RS ALCARRIA'!$D$6:$M$36,10,FALSE),"")</f>
        <v>10</v>
      </c>
      <c r="G63" s="135">
        <f>IFERROR(VLOOKUP(C63,'01_RS ALCARRIA'!$D$6:$O$36,12,FALSE),"")</f>
        <v>10</v>
      </c>
      <c r="H63" s="138">
        <f t="shared" si="69"/>
        <v>40</v>
      </c>
      <c r="I63" s="135">
        <f>IFERROR(VLOOKUP(C63,'02_TCT GUADAMUR'!$D$6:$M$36,10,FALSE),"")</f>
        <v>10</v>
      </c>
      <c r="J63" s="135">
        <f>IFERROR(VLOOKUP(C63,'02_TCT GUADAMUR'!$D$6:$O$36,12,FALSE),"")</f>
        <v>8</v>
      </c>
      <c r="K63" s="138">
        <f t="shared" si="70"/>
        <v>18</v>
      </c>
      <c r="L63" s="135">
        <f>IFERROR(VLOOKUP(C63,'03_TCT MAQUEDA'!$D$6:$M$36,10,FALSE),"")</f>
        <v>8</v>
      </c>
      <c r="M63" s="135">
        <f>IFERROR(VLOOKUP(C63,'03_TCT MAQUEDA'!$D$6:$O$36,12,FALSE),"")</f>
        <v>10</v>
      </c>
      <c r="N63" s="138">
        <f t="shared" si="71"/>
        <v>18</v>
      </c>
      <c r="O63" s="135">
        <f>IFERROR(VLOOKUP(C63,'04_RALLYE CAM'!$D$6:$M$36,10,FALSE),"")</f>
        <v>5</v>
      </c>
      <c r="P63" s="135">
        <f>IFERROR(VLOOKUP(C63,'04_RALLYE CAM'!$D$6:$O$36,12,FALSE),"")</f>
        <v>10</v>
      </c>
      <c r="Q63" s="138">
        <f t="shared" si="72"/>
        <v>45</v>
      </c>
      <c r="R63" s="135">
        <f>IFERROR(VLOOKUP(C63,'05_RS NAVALCARNERO'!$D$6:$M$28,10,FALSE),"")</f>
        <v>8</v>
      </c>
      <c r="S63" s="135">
        <f>IFERROR(VLOOKUP(C63,'05_RS NAVALCARNERO'!$D$6:$O$28,12,FALSE),"")</f>
        <v>8</v>
      </c>
      <c r="T63" s="138">
        <f t="shared" si="73"/>
        <v>32</v>
      </c>
      <c r="U63" s="135">
        <f>IFERROR(VLOOKUP(C63,'06_TCT NUEVO BAZTÁN'!$D$6:$M$28,10,FALSE),"")</f>
        <v>8</v>
      </c>
      <c r="V63" s="135">
        <f>IFERROR(VLOOKUP(C63,'06_TCT NUEVO BAZTÁN'!$D$6:$O$28,12,FALSE),"")</f>
        <v>8</v>
      </c>
      <c r="W63" s="138">
        <f t="shared" si="68"/>
        <v>16</v>
      </c>
      <c r="X63" s="139">
        <f t="shared" si="74"/>
        <v>169</v>
      </c>
      <c r="Y63" s="140" t="str">
        <f t="shared" si="75"/>
        <v>Sí</v>
      </c>
      <c r="Z63" s="141">
        <f t="shared" si="76"/>
        <v>6</v>
      </c>
      <c r="AB63" s="261" t="str">
        <f>IFERROR(VLOOKUP(C63,Tabla15[[Piloto]:[Puntos clase]],6, FALSE), " ")</f>
        <v>2RM</v>
      </c>
    </row>
    <row r="64" spans="2:29" ht="12.75" customHeight="1" x14ac:dyDescent="0.3">
      <c r="B64" s="133">
        <v>2</v>
      </c>
      <c r="C64" s="142" t="s">
        <v>592</v>
      </c>
      <c r="D64" s="482">
        <f>IFERROR(VLOOKUP(C64,Tabla15[[Piloto]:[Puntos clase]],7, FALSE), " ")</f>
        <v>3</v>
      </c>
      <c r="E64" s="482" t="str">
        <f t="shared" si="77"/>
        <v>2</v>
      </c>
      <c r="F64" s="135">
        <f>IFERROR(VLOOKUP(C64,'01_RS ALCARRIA'!$D$6:$M$36,10,FALSE),"")</f>
        <v>8</v>
      </c>
      <c r="G64" s="135">
        <f>IFERROR(VLOOKUP(C64,'01_RS ALCARRIA'!$D$6:$O$36,12,FALSE),"")</f>
        <v>8</v>
      </c>
      <c r="H64" s="138">
        <f t="shared" si="69"/>
        <v>32</v>
      </c>
      <c r="I64" s="135" t="str">
        <f>IFERROR(VLOOKUP(C64,'02_TCT GUADAMUR'!$D$6:$M$36,10,FALSE),"")</f>
        <v/>
      </c>
      <c r="J64" s="135" t="str">
        <f>IFERROR(VLOOKUP(C64,'02_TCT GUADAMUR'!$D$6:$O$36,12,FALSE),"")</f>
        <v/>
      </c>
      <c r="K64" s="138" t="e">
        <f t="shared" si="70"/>
        <v>#VALUE!</v>
      </c>
      <c r="L64" s="135" t="str">
        <f>IFERROR(VLOOKUP(C64,'03_TCT MAQUEDA'!$D$6:$M$36,10,FALSE),"")</f>
        <v/>
      </c>
      <c r="M64" s="135" t="str">
        <f>IFERROR(VLOOKUP(C64,'03_TCT MAQUEDA'!$D$6:$O$36,12,FALSE),"")</f>
        <v/>
      </c>
      <c r="N64" s="138" t="e">
        <f t="shared" si="71"/>
        <v>#VALUE!</v>
      </c>
      <c r="O64" s="135" t="str">
        <f>IFERROR(VLOOKUP(C64,'04_RALLYE CAM'!$D$6:$M$36,10,FALSE),"")</f>
        <v/>
      </c>
      <c r="P64" s="135" t="str">
        <f>IFERROR(VLOOKUP(C64,'04_RALLYE CAM'!$D$6:$O$36,12,FALSE),"")</f>
        <v/>
      </c>
      <c r="Q64" s="138" t="e">
        <f t="shared" si="72"/>
        <v>#VALUE!</v>
      </c>
      <c r="R64" s="135" t="str">
        <f>IFERROR(VLOOKUP(C64,'05_RS NAVALCARNERO'!$D$6:$M$28,10,FALSE),"")</f>
        <v/>
      </c>
      <c r="S64" s="135" t="str">
        <f>IFERROR(VLOOKUP(C64,'05_RS NAVALCARNERO'!$D$6:$O$28,12,FALSE),"")</f>
        <v/>
      </c>
      <c r="T64" s="138" t="e">
        <f t="shared" si="73"/>
        <v>#VALUE!</v>
      </c>
      <c r="U64" s="135" t="str">
        <f>IFERROR(VLOOKUP(C64,'06_TCT NUEVO BAZTÁN'!$D$6:$M$28,10,FALSE),"")</f>
        <v/>
      </c>
      <c r="V64" s="135" t="str">
        <f>IFERROR(VLOOKUP(C64,'06_TCT NUEVO BAZTÁN'!$D$6:$O$28,12,FALSE),"")</f>
        <v/>
      </c>
      <c r="W64" s="138" t="e">
        <f t="shared" si="68"/>
        <v>#VALUE!</v>
      </c>
      <c r="X64" s="139" t="e">
        <f t="shared" si="74"/>
        <v>#VALUE!</v>
      </c>
      <c r="Y64" s="140" t="str">
        <f t="shared" si="75"/>
        <v>Sí</v>
      </c>
      <c r="Z64" s="141">
        <f t="shared" si="76"/>
        <v>6</v>
      </c>
      <c r="AB64" s="261" t="str">
        <f>IFERROR(VLOOKUP(C64,Tabla15[[Piloto]:[Puntos clase]],6, FALSE), " ")</f>
        <v>2RM</v>
      </c>
    </row>
    <row r="65" spans="2:28" ht="12.75" customHeight="1" x14ac:dyDescent="0.3">
      <c r="B65" s="133">
        <v>3</v>
      </c>
      <c r="C65" s="142" t="s">
        <v>593</v>
      </c>
      <c r="D65" s="482">
        <f>IFERROR(VLOOKUP(C65,Tabla15[[Piloto]:[Puntos clase]],7, FALSE), " ")</f>
        <v>3</v>
      </c>
      <c r="E65" s="482" t="str">
        <f t="shared" si="77"/>
        <v>2</v>
      </c>
      <c r="F65" s="135">
        <f>IFERROR(VLOOKUP(C65,'01_RS ALCARRIA'!$D$6:$M$36,10,FALSE),"")</f>
        <v>6</v>
      </c>
      <c r="G65" s="135">
        <f>IFERROR(VLOOKUP(C65,'01_RS ALCARRIA'!$D$6:$O$36,12,FALSE),"")</f>
        <v>6</v>
      </c>
      <c r="H65" s="138">
        <f t="shared" si="69"/>
        <v>24</v>
      </c>
      <c r="I65" s="135" t="str">
        <f>IFERROR(VLOOKUP(C65,'02_TCT GUADAMUR'!$D$6:$M$36,10,FALSE),"")</f>
        <v/>
      </c>
      <c r="J65" s="135" t="str">
        <f>IFERROR(VLOOKUP(C65,'02_TCT GUADAMUR'!$D$6:$O$36,12,FALSE),"")</f>
        <v/>
      </c>
      <c r="K65" s="138" t="e">
        <f t="shared" si="70"/>
        <v>#VALUE!</v>
      </c>
      <c r="L65" s="135">
        <v>0</v>
      </c>
      <c r="M65" s="135">
        <v>0</v>
      </c>
      <c r="N65" s="138">
        <f t="shared" si="71"/>
        <v>0</v>
      </c>
      <c r="O65" s="135" t="str">
        <f>IFERROR(VLOOKUP(C65,'04_RALLYE CAM'!$D$6:$M$36,10,FALSE),"")</f>
        <v/>
      </c>
      <c r="P65" s="135" t="str">
        <f>IFERROR(VLOOKUP(C65,'04_RALLYE CAM'!$D$6:$O$36,12,FALSE),"")</f>
        <v/>
      </c>
      <c r="Q65" s="138" t="e">
        <f t="shared" si="72"/>
        <v>#VALUE!</v>
      </c>
      <c r="R65" s="135" t="str">
        <f>IFERROR(VLOOKUP(C65,'05_RS NAVALCARNERO'!$D$6:$M$28,10,FALSE),"")</f>
        <v/>
      </c>
      <c r="S65" s="135" t="str">
        <f>IFERROR(VLOOKUP(C65,'05_RS NAVALCARNERO'!$D$6:$O$28,12,FALSE),"")</f>
        <v/>
      </c>
      <c r="T65" s="138" t="e">
        <f t="shared" si="73"/>
        <v>#VALUE!</v>
      </c>
      <c r="U65" s="135" t="str">
        <f>IFERROR(VLOOKUP(C65,'06_TCT NUEVO BAZTÁN'!$D$6:$M$28,10,FALSE),"")</f>
        <v/>
      </c>
      <c r="V65" s="135" t="str">
        <f>IFERROR(VLOOKUP(C65,'06_TCT NUEVO BAZTÁN'!$D$6:$O$28,12,FALSE),"")</f>
        <v/>
      </c>
      <c r="W65" s="138" t="e">
        <f t="shared" si="68"/>
        <v>#VALUE!</v>
      </c>
      <c r="X65" s="139" t="e">
        <f t="shared" si="74"/>
        <v>#VALUE!</v>
      </c>
      <c r="Y65" s="140" t="str">
        <f t="shared" si="75"/>
        <v>Sí</v>
      </c>
      <c r="Z65" s="141">
        <f t="shared" si="76"/>
        <v>6</v>
      </c>
      <c r="AB65" s="261" t="str">
        <f>IFERROR(VLOOKUP(C65,Tabla15[[Piloto]:[Puntos clase]],6, FALSE), " ")</f>
        <v>2RM</v>
      </c>
    </row>
    <row r="66" spans="2:28" ht="12.75" customHeight="1" x14ac:dyDescent="0.3">
      <c r="B66" s="133">
        <v>4</v>
      </c>
      <c r="C66" s="155" t="s">
        <v>595</v>
      </c>
      <c r="D66" s="482">
        <f>IFERROR(VLOOKUP(C66,Tabla15[[Piloto]:[Puntos clase]],7, FALSE), " ")</f>
        <v>3</v>
      </c>
      <c r="E66" s="482" t="str">
        <f t="shared" si="77"/>
        <v>2</v>
      </c>
      <c r="F66" s="135">
        <f>IFERROR(VLOOKUP(C66,'01_RS ALCARRIA'!$D$6:$M$36,10,FALSE),"")</f>
        <v>5</v>
      </c>
      <c r="G66" s="135">
        <f>IFERROR(VLOOKUP(C66,'01_RS ALCARRIA'!$D$6:$O$36,12,FALSE),"")</f>
        <v>5</v>
      </c>
      <c r="H66" s="138">
        <f t="shared" si="69"/>
        <v>20</v>
      </c>
      <c r="I66" s="135">
        <f>IFERROR(VLOOKUP(C66,'02_TCT GUADAMUR'!$D$6:$M$36,10,FALSE),"")</f>
        <v>3</v>
      </c>
      <c r="J66" s="135">
        <f>IFERROR(VLOOKUP(C66,'02_TCT GUADAMUR'!$D$6:$O$36,12,FALSE),"")</f>
        <v>5</v>
      </c>
      <c r="K66" s="138">
        <f t="shared" si="70"/>
        <v>8</v>
      </c>
      <c r="L66" s="135">
        <f>IFERROR(VLOOKUP(C66,'03_TCT MAQUEDA'!$D$6:$M$36,10,FALSE),"")</f>
        <v>2</v>
      </c>
      <c r="M66" s="135">
        <f>IFERROR(VLOOKUP(C66,'03_TCT MAQUEDA'!$D$6:$O$36,12,FALSE),"")</f>
        <v>6</v>
      </c>
      <c r="N66" s="138">
        <f t="shared" si="71"/>
        <v>8</v>
      </c>
      <c r="O66" s="135" t="str">
        <f>IFERROR(VLOOKUP(C66,'04_RALLYE CAM'!$D$6:$M$36,10,FALSE),"")</f>
        <v/>
      </c>
      <c r="P66" s="135" t="str">
        <f>IFERROR(VLOOKUP(C66,'04_RALLYE CAM'!$D$6:$O$36,12,FALSE),"")</f>
        <v/>
      </c>
      <c r="Q66" s="138" t="e">
        <f t="shared" si="72"/>
        <v>#VALUE!</v>
      </c>
      <c r="R66" s="135" t="str">
        <f>IFERROR(VLOOKUP(C66,'05_RS NAVALCARNERO'!$D$6:$M$28,10,FALSE),"")</f>
        <v/>
      </c>
      <c r="S66" s="135" t="str">
        <f>IFERROR(VLOOKUP(C66,'05_RS NAVALCARNERO'!$D$6:$O$28,12,FALSE),"")</f>
        <v/>
      </c>
      <c r="T66" s="138" t="e">
        <f t="shared" si="73"/>
        <v>#VALUE!</v>
      </c>
      <c r="U66" s="135" t="str">
        <f>IFERROR(VLOOKUP(C66,'06_TCT NUEVO BAZTÁN'!$D$6:$M$28,10,FALSE),"")</f>
        <v/>
      </c>
      <c r="V66" s="135" t="str">
        <f>IFERROR(VLOOKUP(C66,'06_TCT NUEVO BAZTÁN'!$D$6:$O$28,12,FALSE),"")</f>
        <v/>
      </c>
      <c r="W66" s="138" t="e">
        <f t="shared" si="68"/>
        <v>#VALUE!</v>
      </c>
      <c r="X66" s="139" t="e">
        <f t="shared" si="74"/>
        <v>#VALUE!</v>
      </c>
      <c r="Y66" s="140" t="str">
        <f t="shared" si="75"/>
        <v>Sí</v>
      </c>
      <c r="Z66" s="141">
        <f t="shared" si="76"/>
        <v>6</v>
      </c>
      <c r="AB66" s="261" t="str">
        <f>IFERROR(VLOOKUP(C66,Tabla15[[Piloto]:[Puntos clase]],6, FALSE), " ")</f>
        <v>2RM</v>
      </c>
    </row>
    <row r="67" spans="2:28" ht="12.75" customHeight="1" x14ac:dyDescent="0.3">
      <c r="B67" s="133">
        <v>1</v>
      </c>
      <c r="C67" s="142" t="s">
        <v>597</v>
      </c>
      <c r="D67" s="479">
        <f>IFERROR(VLOOKUP(C67,Tabla15[[Piloto]:[Puntos clase]],7, FALSE), " ")</f>
        <v>5</v>
      </c>
      <c r="E67" s="482" t="str">
        <f t="shared" si="77"/>
        <v>2</v>
      </c>
      <c r="F67" s="135">
        <f>IFERROR(VLOOKUP(C67,'01_RS ALCARRIA'!$D$6:$M$36,10,FALSE),"")</f>
        <v>4</v>
      </c>
      <c r="G67" s="135">
        <f>IFERROR(VLOOKUP(C67,'01_RS ALCARRIA'!$D$6:$O$36,12,FALSE),"")</f>
        <v>10</v>
      </c>
      <c r="H67" s="138">
        <f t="shared" si="69"/>
        <v>28</v>
      </c>
      <c r="I67" s="135">
        <f>IFERROR(VLOOKUP(C67,'02_TCT GUADAMUR'!$D$6:$M$36,10,FALSE),"")</f>
        <v>8</v>
      </c>
      <c r="J67" s="135">
        <f>IFERROR(VLOOKUP(C67,'02_TCT GUADAMUR'!$D$6:$O$36,12,FALSE),"")</f>
        <v>10</v>
      </c>
      <c r="K67" s="138">
        <f t="shared" si="70"/>
        <v>18</v>
      </c>
      <c r="L67" s="135" t="str">
        <f>IFERROR(VLOOKUP(C67,'03_TCT MAQUEDA'!$D$6:$M$36,10,FALSE),"")</f>
        <v/>
      </c>
      <c r="M67" s="135" t="str">
        <f>IFERROR(VLOOKUP(C67,'03_TCT MAQUEDA'!$D$6:$O$36,12,FALSE),"")</f>
        <v/>
      </c>
      <c r="N67" s="138" t="e">
        <f t="shared" si="71"/>
        <v>#VALUE!</v>
      </c>
      <c r="O67" s="135" t="str">
        <f>IFERROR(VLOOKUP(C67,'04_RALLYE CAM'!$D$6:$M$36,10,FALSE),"")</f>
        <v/>
      </c>
      <c r="P67" s="135" t="str">
        <f>IFERROR(VLOOKUP(C67,'04_RALLYE CAM'!$D$6:$O$36,12,FALSE),"")</f>
        <v/>
      </c>
      <c r="Q67" s="138" t="e">
        <f t="shared" si="72"/>
        <v>#VALUE!</v>
      </c>
      <c r="R67" s="135" t="str">
        <f>IFERROR(VLOOKUP(C67,'05_RS NAVALCARNERO'!$D$6:$M$28,10,FALSE),"")</f>
        <v/>
      </c>
      <c r="S67" s="135" t="str">
        <f>IFERROR(VLOOKUP(C67,'05_RS NAVALCARNERO'!$D$6:$O$28,12,FALSE),"")</f>
        <v/>
      </c>
      <c r="T67" s="138" t="e">
        <f t="shared" si="73"/>
        <v>#VALUE!</v>
      </c>
      <c r="U67" s="135" t="str">
        <f>IFERROR(VLOOKUP(C67,'06_TCT NUEVO BAZTÁN'!$D$6:$M$28,10,FALSE),"")</f>
        <v/>
      </c>
      <c r="V67" s="135" t="str">
        <f>IFERROR(VLOOKUP(C67,'06_TCT NUEVO BAZTÁN'!$D$6:$O$28,12,FALSE),"")</f>
        <v/>
      </c>
      <c r="W67" s="138" t="e">
        <f t="shared" si="68"/>
        <v>#VALUE!</v>
      </c>
      <c r="X67" s="139" t="e">
        <f t="shared" si="74"/>
        <v>#VALUE!</v>
      </c>
      <c r="Y67" s="140" t="str">
        <f t="shared" si="75"/>
        <v>Sí</v>
      </c>
      <c r="Z67" s="141">
        <f t="shared" si="76"/>
        <v>6</v>
      </c>
      <c r="AB67" s="261" t="str">
        <f>IFERROR(VLOOKUP(C67,Tabla15[[Piloto]:[Puntos clase]],6, FALSE), " ")</f>
        <v>2RM</v>
      </c>
    </row>
    <row r="68" spans="2:28" ht="12.75" customHeight="1" x14ac:dyDescent="0.3">
      <c r="B68" s="133">
        <v>1</v>
      </c>
      <c r="C68" s="142" t="s">
        <v>283</v>
      </c>
      <c r="D68" s="479">
        <f>IFERROR(VLOOKUP(C68,Tabla15[[Piloto]:[Puntos clase]],7, FALSE), " ")</f>
        <v>4</v>
      </c>
      <c r="E68" s="482" t="str">
        <f t="shared" si="77"/>
        <v>2</v>
      </c>
      <c r="F68" s="135">
        <f>IFERROR(VLOOKUP(C68,'01_RS ALCARRIA'!$D$6:$M$36,10,FALSE),"")</f>
        <v>3</v>
      </c>
      <c r="G68" s="135">
        <f>IFERROR(VLOOKUP(C68,'01_RS ALCARRIA'!$D$6:$O$36,12,FALSE),"")</f>
        <v>10</v>
      </c>
      <c r="H68" s="138">
        <f t="shared" si="69"/>
        <v>26</v>
      </c>
      <c r="I68" s="135">
        <f>IFERROR(VLOOKUP(C68,'02_TCT GUADAMUR'!$D$6:$M$36,10,FALSE),"")</f>
        <v>6</v>
      </c>
      <c r="J68" s="135">
        <f>IFERROR(VLOOKUP(C68,'02_TCT GUADAMUR'!$D$6:$O$36,12,FALSE),"")</f>
        <v>10</v>
      </c>
      <c r="K68" s="138">
        <f t="shared" si="70"/>
        <v>16</v>
      </c>
      <c r="L68" s="135" t="str">
        <f>IFERROR(VLOOKUP(C68,'03_TCT MAQUEDA'!$D$6:$M$36,10,FALSE),"")</f>
        <v/>
      </c>
      <c r="M68" s="135" t="str">
        <f>IFERROR(VLOOKUP(C68,'03_TCT MAQUEDA'!$D$6:$O$36,12,FALSE),"")</f>
        <v/>
      </c>
      <c r="N68" s="138" t="e">
        <f t="shared" si="71"/>
        <v>#VALUE!</v>
      </c>
      <c r="O68" s="135">
        <f>IFERROR(VLOOKUP(C68,'04_RALLYE CAM'!$D$6:$M$36,10,FALSE),"")</f>
        <v>4</v>
      </c>
      <c r="P68" s="135">
        <f>IFERROR(VLOOKUP(C68,'04_RALLYE CAM'!$D$6:$O$36,12,FALSE),"")</f>
        <v>10</v>
      </c>
      <c r="Q68" s="138">
        <f t="shared" si="72"/>
        <v>42</v>
      </c>
      <c r="R68" s="135">
        <f>IFERROR(VLOOKUP(C68,'05_RS NAVALCARNERO'!$D$6:$M$28,10,FALSE),"")</f>
        <v>2</v>
      </c>
      <c r="S68" s="135">
        <f>IFERROR(VLOOKUP(C68,'05_RS NAVALCARNERO'!$D$6:$O$28,12,FALSE),"")</f>
        <v>10</v>
      </c>
      <c r="T68" s="138">
        <f t="shared" si="73"/>
        <v>24</v>
      </c>
      <c r="U68" s="135">
        <f>IFERROR(VLOOKUP(C68,'06_TCT NUEVO BAZTÁN'!$D$6:$M$28,10,FALSE),"")</f>
        <v>2</v>
      </c>
      <c r="V68" s="135">
        <f>IFERROR(VLOOKUP(C68,'06_TCT NUEVO BAZTÁN'!$D$6:$O$28,12,FALSE),"")</f>
        <v>10</v>
      </c>
      <c r="W68" s="138">
        <f t="shared" si="68"/>
        <v>12</v>
      </c>
      <c r="X68" s="139" t="e">
        <f t="shared" si="74"/>
        <v>#VALUE!</v>
      </c>
      <c r="Y68" s="140" t="str">
        <f t="shared" si="75"/>
        <v>Sí</v>
      </c>
      <c r="Z68" s="141">
        <f t="shared" si="76"/>
        <v>6</v>
      </c>
      <c r="AB68" s="261" t="str">
        <f>IFERROR(VLOOKUP(C68,Tabla15[[Piloto]:[Puntos clase]],6, FALSE), " ")</f>
        <v>2RM</v>
      </c>
    </row>
    <row r="69" spans="2:28" ht="12.75" customHeight="1" x14ac:dyDescent="0.3">
      <c r="B69" s="133">
        <v>2</v>
      </c>
      <c r="C69" s="142" t="s">
        <v>332</v>
      </c>
      <c r="D69" s="482">
        <f>IFERROR(VLOOKUP(C69,Tabla15[[Piloto]:[Puntos clase]],7, FALSE), " ")</f>
        <v>4</v>
      </c>
      <c r="E69" s="482" t="str">
        <f t="shared" si="77"/>
        <v>2</v>
      </c>
      <c r="F69" s="135">
        <f>IFERROR(VLOOKUP(C69,'01_RS ALCARRIA'!$D$6:$M$36,10,FALSE),"")</f>
        <v>2</v>
      </c>
      <c r="G69" s="135">
        <f>IFERROR(VLOOKUP(C69,'01_RS ALCARRIA'!$D$6:$O$36,12,FALSE),"")</f>
        <v>8</v>
      </c>
      <c r="H69" s="138">
        <f t="shared" si="69"/>
        <v>20</v>
      </c>
      <c r="I69" s="135">
        <f>IFERROR(VLOOKUP(C69,'02_TCT GUADAMUR'!$D$6:$M$36,10,FALSE),"")</f>
        <v>1</v>
      </c>
      <c r="J69" s="135">
        <f>IFERROR(VLOOKUP(C69,'02_TCT GUADAMUR'!$D$6:$O$36,12,FALSE),"")</f>
        <v>8</v>
      </c>
      <c r="K69" s="138">
        <f t="shared" si="70"/>
        <v>9</v>
      </c>
      <c r="L69" s="135">
        <f>IFERROR(VLOOKUP(C69,'03_TCT MAQUEDA'!$D$6:$M$36,10,FALSE),"")</f>
        <v>5</v>
      </c>
      <c r="M69" s="135">
        <f>IFERROR(VLOOKUP(C69,'03_TCT MAQUEDA'!$D$6:$O$36,12,FALSE),"")</f>
        <v>8</v>
      </c>
      <c r="N69" s="138">
        <f t="shared" si="71"/>
        <v>13</v>
      </c>
      <c r="O69" s="135" t="str">
        <f>IFERROR(VLOOKUP(C69,'04_RALLYE CAM'!$D$6:$M$36,10,FALSE),"")</f>
        <v/>
      </c>
      <c r="P69" s="135" t="str">
        <f>IFERROR(VLOOKUP(C69,'04_RALLYE CAM'!$D$6:$O$36,12,FALSE),"")</f>
        <v/>
      </c>
      <c r="Q69" s="138" t="e">
        <f t="shared" si="72"/>
        <v>#VALUE!</v>
      </c>
      <c r="R69" s="135" t="str">
        <f>IFERROR(VLOOKUP(C69,'05_RS NAVALCARNERO'!$D$6:$M$28,10,FALSE),"")</f>
        <v/>
      </c>
      <c r="S69" s="135" t="str">
        <f>IFERROR(VLOOKUP(C69,'05_RS NAVALCARNERO'!$D$6:$O$28,12,FALSE),"")</f>
        <v/>
      </c>
      <c r="T69" s="138" t="e">
        <f t="shared" si="73"/>
        <v>#VALUE!</v>
      </c>
      <c r="U69" s="135" t="str">
        <f>IFERROR(VLOOKUP(C69,'06_TCT NUEVO BAZTÁN'!$D$6:$M$28,10,FALSE),"")</f>
        <v/>
      </c>
      <c r="V69" s="135" t="str">
        <f>IFERROR(VLOOKUP(C69,'06_TCT NUEVO BAZTÁN'!$D$6:$O$28,12,FALSE),"")</f>
        <v/>
      </c>
      <c r="W69" s="138" t="e">
        <f t="shared" si="68"/>
        <v>#VALUE!</v>
      </c>
      <c r="X69" s="139" t="e">
        <f t="shared" si="74"/>
        <v>#VALUE!</v>
      </c>
      <c r="Y69" s="140" t="str">
        <f t="shared" si="75"/>
        <v>Sí</v>
      </c>
      <c r="Z69" s="141">
        <f t="shared" si="76"/>
        <v>6</v>
      </c>
      <c r="AB69" s="261" t="str">
        <f>IFERROR(VLOOKUP(C69,Tabla15[[Piloto]:[Puntos clase]],6, FALSE), " ")</f>
        <v>2RM</v>
      </c>
    </row>
    <row r="70" spans="2:28" ht="12.75" customHeight="1" x14ac:dyDescent="0.3">
      <c r="B70" s="133">
        <v>5</v>
      </c>
      <c r="C70" s="142" t="s">
        <v>601</v>
      </c>
      <c r="D70" s="482">
        <f>IFERROR(VLOOKUP(C70,Tabla15[[Piloto]:[Puntos clase]],7, FALSE), " ")</f>
        <v>3</v>
      </c>
      <c r="E70" s="482" t="str">
        <f t="shared" si="77"/>
        <v>2</v>
      </c>
      <c r="F70" s="135">
        <f>IFERROR(VLOOKUP(C70,'01_RS ALCARRIA'!$D$6:$M$36,10,FALSE),"")</f>
        <v>1</v>
      </c>
      <c r="G70" s="135">
        <f>IFERROR(VLOOKUP(C70,'01_RS ALCARRIA'!$D$6:$O$36,12,FALSE),"")</f>
        <v>3</v>
      </c>
      <c r="H70" s="138">
        <f t="shared" si="69"/>
        <v>8</v>
      </c>
      <c r="I70" s="135" t="str">
        <f>IFERROR(VLOOKUP(C70,'02_TCT GUADAMUR'!$D$6:$M$36,10,FALSE),"")</f>
        <v/>
      </c>
      <c r="J70" s="135" t="str">
        <f>IFERROR(VLOOKUP(C70,'02_TCT GUADAMUR'!$D$6:$O$36,12,FALSE),"")</f>
        <v/>
      </c>
      <c r="K70" s="138" t="e">
        <f t="shared" si="70"/>
        <v>#VALUE!</v>
      </c>
      <c r="L70" s="135" t="str">
        <f>IFERROR(VLOOKUP(C70,'03_TCT MAQUEDA'!$D$6:$M$36,10,FALSE),"")</f>
        <v/>
      </c>
      <c r="M70" s="135" t="str">
        <f>IFERROR(VLOOKUP(C70,'03_TCT MAQUEDA'!$D$6:$O$36,12,FALSE),"")</f>
        <v/>
      </c>
      <c r="N70" s="138" t="e">
        <f t="shared" si="71"/>
        <v>#VALUE!</v>
      </c>
      <c r="O70" s="135" t="str">
        <f>IFERROR(VLOOKUP(C70,'04_RALLYE CAM'!$D$6:$M$36,10,FALSE),"")</f>
        <v/>
      </c>
      <c r="P70" s="135" t="str">
        <f>IFERROR(VLOOKUP(C70,'04_RALLYE CAM'!$D$6:$O$36,12,FALSE),"")</f>
        <v/>
      </c>
      <c r="Q70" s="138" t="e">
        <f t="shared" si="72"/>
        <v>#VALUE!</v>
      </c>
      <c r="R70" s="135" t="str">
        <f>IFERROR(VLOOKUP(C70,'05_RS NAVALCARNERO'!$D$6:$M$28,10,FALSE),"")</f>
        <v/>
      </c>
      <c r="S70" s="135" t="str">
        <f>IFERROR(VLOOKUP(C70,'05_RS NAVALCARNERO'!$D$6:$O$28,12,FALSE),"")</f>
        <v/>
      </c>
      <c r="T70" s="138" t="e">
        <f t="shared" si="73"/>
        <v>#VALUE!</v>
      </c>
      <c r="U70" s="135" t="str">
        <f>IFERROR(VLOOKUP(C70,'06_TCT NUEVO BAZTÁN'!$D$6:$M$28,10,FALSE),"")</f>
        <v/>
      </c>
      <c r="V70" s="135" t="str">
        <f>IFERROR(VLOOKUP(C70,'06_TCT NUEVO BAZTÁN'!$D$6:$O$28,12,FALSE),"")</f>
        <v/>
      </c>
      <c r="W70" s="138" t="e">
        <f t="shared" si="68"/>
        <v>#VALUE!</v>
      </c>
      <c r="X70" s="139" t="e">
        <f t="shared" si="74"/>
        <v>#VALUE!</v>
      </c>
      <c r="Y70" s="140" t="str">
        <f t="shared" si="75"/>
        <v>Sí</v>
      </c>
      <c r="Z70" s="141">
        <f t="shared" si="76"/>
        <v>6</v>
      </c>
      <c r="AB70" s="261" t="str">
        <f>IFERROR(VLOOKUP(C70,Tabla15[[Piloto]:[Puntos clase]],6, FALSE), " ")</f>
        <v>2RM</v>
      </c>
    </row>
    <row r="71" spans="2:28" ht="12.75" customHeight="1" x14ac:dyDescent="0.3">
      <c r="B71" s="133">
        <v>6</v>
      </c>
      <c r="C71" s="142" t="s">
        <v>604</v>
      </c>
      <c r="D71" s="482">
        <f>IFERROR(VLOOKUP(C71,Tabla15[[Piloto]:[Puntos clase]],7, FALSE), " ")</f>
        <v>3</v>
      </c>
      <c r="E71" s="482" t="str">
        <f t="shared" si="77"/>
        <v>2</v>
      </c>
      <c r="F71" s="135">
        <f>IFERROR(VLOOKUP(C71,'01_RS ALCARRIA'!$D$6:$M$36,10,FALSE),"")</f>
        <v>0</v>
      </c>
      <c r="G71" s="135">
        <f>IFERROR(VLOOKUP(C71,'01_RS ALCARRIA'!$D$6:$O$36,12,FALSE),"")</f>
        <v>1</v>
      </c>
      <c r="H71" s="138">
        <f t="shared" si="69"/>
        <v>2</v>
      </c>
      <c r="I71" s="135">
        <f>IFERROR(VLOOKUP(C71,'02_TCT GUADAMUR'!$D$6:$M$36,10,FALSE),"")</f>
        <v>0</v>
      </c>
      <c r="J71" s="135">
        <f>IFERROR(VLOOKUP(C71,'02_TCT GUADAMUR'!$D$6:$O$36,12,FALSE),"")</f>
        <v>0</v>
      </c>
      <c r="K71" s="138">
        <f t="shared" si="70"/>
        <v>0</v>
      </c>
      <c r="L71" s="135">
        <v>0</v>
      </c>
      <c r="M71" s="135">
        <v>0</v>
      </c>
      <c r="N71" s="138">
        <f t="shared" si="71"/>
        <v>0</v>
      </c>
      <c r="O71" s="135" t="str">
        <f>IFERROR(VLOOKUP(C71,'04_RALLYE CAM'!$D$6:$M$36,10,FALSE),"")</f>
        <v/>
      </c>
      <c r="P71" s="135" t="str">
        <f>IFERROR(VLOOKUP(C71,'04_RALLYE CAM'!$D$6:$O$36,12,FALSE),"")</f>
        <v/>
      </c>
      <c r="Q71" s="138" t="e">
        <f t="shared" si="72"/>
        <v>#VALUE!</v>
      </c>
      <c r="R71" s="135" t="str">
        <f>IFERROR(VLOOKUP(C71,'05_RS NAVALCARNERO'!$D$6:$M$28,10,FALSE),"")</f>
        <v/>
      </c>
      <c r="S71" s="135" t="str">
        <f>IFERROR(VLOOKUP(C71,'05_RS NAVALCARNERO'!$D$6:$O$28,12,FALSE),"")</f>
        <v/>
      </c>
      <c r="T71" s="138" t="e">
        <f t="shared" si="73"/>
        <v>#VALUE!</v>
      </c>
      <c r="U71" s="135" t="str">
        <f>IFERROR(VLOOKUP(C71,'06_TCT NUEVO BAZTÁN'!$D$6:$M$28,10,FALSE),"")</f>
        <v/>
      </c>
      <c r="V71" s="135" t="str">
        <f>IFERROR(VLOOKUP(C71,'06_TCT NUEVO BAZTÁN'!$D$6:$O$28,12,FALSE),"")</f>
        <v/>
      </c>
      <c r="W71" s="138" t="e">
        <f t="shared" si="68"/>
        <v>#VALUE!</v>
      </c>
      <c r="X71" s="139" t="e">
        <f t="shared" si="74"/>
        <v>#VALUE!</v>
      </c>
      <c r="Y71" s="140" t="str">
        <f t="shared" si="75"/>
        <v>Sí</v>
      </c>
      <c r="Z71" s="141">
        <f t="shared" si="76"/>
        <v>6</v>
      </c>
      <c r="AB71" s="261" t="str">
        <f>IFERROR(VLOOKUP(C71,Tabla15[[Piloto]:[Puntos clase]],6, FALSE), " ")</f>
        <v>2RM</v>
      </c>
    </row>
    <row r="72" spans="2:28" ht="12.75" customHeight="1" x14ac:dyDescent="0.3">
      <c r="B72" s="133">
        <v>7</v>
      </c>
      <c r="C72" s="142" t="s">
        <v>606</v>
      </c>
      <c r="D72" s="482">
        <v>3</v>
      </c>
      <c r="E72" s="482">
        <v>2</v>
      </c>
      <c r="F72" s="135">
        <f>IFERROR(VLOOKUP(C72,'01_RS ALCARRIA'!$D$6:$M$36,10,FALSE),"")</f>
        <v>0</v>
      </c>
      <c r="G72" s="135">
        <f>IFERROR(VLOOKUP(C72,'01_RS ALCARRIA'!$D$6:$O$36,12,FALSE),"")</f>
        <v>0</v>
      </c>
      <c r="H72" s="138">
        <f t="shared" si="69"/>
        <v>0</v>
      </c>
      <c r="I72" s="135">
        <f>IFERROR(VLOOKUP(C72,'02_TCT GUADAMUR'!$D$6:$M$36,10,FALSE),"")</f>
        <v>2</v>
      </c>
      <c r="J72" s="135">
        <f>IFERROR(VLOOKUP(C72,'02_TCT GUADAMUR'!$D$6:$O$36,12,FALSE),"")</f>
        <v>3</v>
      </c>
      <c r="K72" s="138">
        <f t="shared" si="70"/>
        <v>5</v>
      </c>
      <c r="L72" s="135" t="str">
        <f>IFERROR(VLOOKUP(C72,'03_TCT MAQUEDA'!$D$6:$M$36,10,FALSE),"")</f>
        <v/>
      </c>
      <c r="M72" s="135" t="str">
        <f>IFERROR(VLOOKUP(C72,'03_TCT MAQUEDA'!$D$6:$O$36,12,FALSE),"")</f>
        <v/>
      </c>
      <c r="N72" s="138" t="e">
        <f t="shared" si="71"/>
        <v>#VALUE!</v>
      </c>
      <c r="O72" s="135" t="str">
        <f>IFERROR(VLOOKUP(C72,'04_RALLYE CAM'!$D$6:$M$36,10,FALSE),"")</f>
        <v/>
      </c>
      <c r="P72" s="135" t="str">
        <f>IFERROR(VLOOKUP(C72,'04_RALLYE CAM'!$D$6:$O$36,12,FALSE),"")</f>
        <v/>
      </c>
      <c r="Q72" s="138" t="e">
        <f t="shared" si="72"/>
        <v>#VALUE!</v>
      </c>
      <c r="R72" s="135" t="str">
        <f>IFERROR(VLOOKUP(C72,'05_RS NAVALCARNERO'!$D$6:$M$28,10,FALSE),"")</f>
        <v/>
      </c>
      <c r="S72" s="135" t="str">
        <f>IFERROR(VLOOKUP(C72,'05_RS NAVALCARNERO'!$D$6:$O$28,12,FALSE),"")</f>
        <v/>
      </c>
      <c r="T72" s="138" t="e">
        <f t="shared" si="73"/>
        <v>#VALUE!</v>
      </c>
      <c r="U72" s="135" t="str">
        <f>IFERROR(VLOOKUP(C72,'06_TCT NUEVO BAZTÁN'!$D$6:$M$28,10,FALSE),"")</f>
        <v/>
      </c>
      <c r="V72" s="135" t="str">
        <f>IFERROR(VLOOKUP(C72,'06_TCT NUEVO BAZTÁN'!$D$6:$O$28,12,FALSE),"")</f>
        <v/>
      </c>
      <c r="W72" s="138" t="e">
        <f t="shared" si="68"/>
        <v>#VALUE!</v>
      </c>
      <c r="X72" s="139" t="e">
        <f t="shared" si="74"/>
        <v>#VALUE!</v>
      </c>
      <c r="Y72" s="140" t="str">
        <f t="shared" si="75"/>
        <v>Sí</v>
      </c>
      <c r="Z72" s="141">
        <f t="shared" si="76"/>
        <v>6</v>
      </c>
      <c r="AB72" s="261" t="str">
        <f>IFERROR(VLOOKUP(C72,Tabla15[[Piloto]:[Puntos clase]],6, FALSE), " ")</f>
        <v>2RM</v>
      </c>
    </row>
    <row r="73" spans="2:28" ht="12.75" customHeight="1" x14ac:dyDescent="0.3">
      <c r="B73" s="133">
        <v>8</v>
      </c>
      <c r="C73" s="142" t="s">
        <v>607</v>
      </c>
      <c r="D73" s="482">
        <f>IFERROR(VLOOKUP(C73,Tabla15[[Piloto]:[Puntos clase]],7, FALSE), " ")</f>
        <v>3</v>
      </c>
      <c r="E73" s="482" t="str">
        <f>LEFT(AB73,LEN(AB73)-2)</f>
        <v>2</v>
      </c>
      <c r="F73" s="135">
        <f>IFERROR(VLOOKUP(C73,'01_RS ALCARRIA'!$D$6:$M$36,10,FALSE),"")</f>
        <v>0</v>
      </c>
      <c r="G73" s="135">
        <f>IFERROR(VLOOKUP(C73,'01_RS ALCARRIA'!$D$6:$O$36,12,FALSE),"")</f>
        <v>0</v>
      </c>
      <c r="H73" s="138">
        <f t="shared" si="69"/>
        <v>0</v>
      </c>
      <c r="I73" s="135">
        <f>IFERROR(VLOOKUP(C73,'02_TCT GUADAMUR'!$D$6:$M$36,10,FALSE),"")</f>
        <v>0</v>
      </c>
      <c r="J73" s="135">
        <f>IFERROR(VLOOKUP(C73,'02_TCT GUADAMUR'!$D$6:$O$36,12,FALSE),"")</f>
        <v>0</v>
      </c>
      <c r="K73" s="138">
        <f t="shared" si="70"/>
        <v>0</v>
      </c>
      <c r="L73" s="135">
        <f>IFERROR(VLOOKUP(C73,'03_TCT MAQUEDA'!$D$6:$M$36,10,FALSE),"")</f>
        <v>0</v>
      </c>
      <c r="M73" s="135">
        <f>IFERROR(VLOOKUP(C73,'03_TCT MAQUEDA'!$D$6:$O$36,12,FALSE),"")</f>
        <v>3</v>
      </c>
      <c r="N73" s="138">
        <f t="shared" si="71"/>
        <v>3</v>
      </c>
      <c r="O73" s="135" t="str">
        <f>IFERROR(VLOOKUP(C73,'04_RALLYE CAM'!$D$6:$M$36,10,FALSE),"")</f>
        <v/>
      </c>
      <c r="P73" s="135" t="str">
        <f>IFERROR(VLOOKUP(C73,'04_RALLYE CAM'!$D$6:$O$36,12,FALSE),"")</f>
        <v/>
      </c>
      <c r="Q73" s="138" t="e">
        <f t="shared" si="72"/>
        <v>#VALUE!</v>
      </c>
      <c r="R73" s="135" t="str">
        <f>IFERROR(VLOOKUP(C73,'05_RS NAVALCARNERO'!$D$6:$M$28,10,FALSE),"")</f>
        <v/>
      </c>
      <c r="S73" s="135" t="str">
        <f>IFERROR(VLOOKUP(C73,'05_RS NAVALCARNERO'!$D$6:$O$28,12,FALSE),"")</f>
        <v/>
      </c>
      <c r="T73" s="138" t="e">
        <f t="shared" si="73"/>
        <v>#VALUE!</v>
      </c>
      <c r="U73" s="135" t="str">
        <f>IFERROR(VLOOKUP(C73,'06_TCT NUEVO BAZTÁN'!$D$6:$M$28,10,FALSE),"")</f>
        <v/>
      </c>
      <c r="V73" s="135" t="str">
        <f>IFERROR(VLOOKUP(C73,'06_TCT NUEVO BAZTÁN'!$D$6:$O$28,12,FALSE),"")</f>
        <v/>
      </c>
      <c r="W73" s="138" t="e">
        <f t="shared" si="68"/>
        <v>#VALUE!</v>
      </c>
      <c r="X73" s="139" t="e">
        <f t="shared" si="74"/>
        <v>#VALUE!</v>
      </c>
      <c r="Y73" s="140" t="str">
        <f t="shared" si="75"/>
        <v>Sí</v>
      </c>
      <c r="Z73" s="141">
        <f t="shared" si="76"/>
        <v>6</v>
      </c>
      <c r="AB73" s="261" t="str">
        <f>IFERROR(VLOOKUP(C73,Tabla15[[Piloto]:[Puntos clase]],6, FALSE), " ")</f>
        <v>2RM</v>
      </c>
    </row>
    <row r="74" spans="2:28" ht="12.75" customHeight="1" x14ac:dyDescent="0.3">
      <c r="B74" s="133">
        <v>9</v>
      </c>
      <c r="C74" s="134" t="s">
        <v>610</v>
      </c>
      <c r="D74" s="482">
        <f>IFERROR(VLOOKUP(C74,Tabla15[[Piloto]:[Puntos clase]],7, FALSE), " ")</f>
        <v>3</v>
      </c>
      <c r="E74" s="482" t="str">
        <f>LEFT(AB74,LEN(AB74)-2)</f>
        <v>2</v>
      </c>
      <c r="F74" s="135">
        <f>IFERROR(VLOOKUP(C74,'01_RS ALCARRIA'!$D$6:$M$36,10,FALSE),"")</f>
        <v>0</v>
      </c>
      <c r="G74" s="135">
        <f>IFERROR(VLOOKUP(C74,'01_RS ALCARRIA'!$D$6:$O$36,12,FALSE),"")</f>
        <v>0</v>
      </c>
      <c r="H74" s="138">
        <f t="shared" si="69"/>
        <v>0</v>
      </c>
      <c r="I74" s="135">
        <f>IFERROR(VLOOKUP(C74,'02_TCT GUADAMUR'!$D$6:$M$36,10,FALSE),"")</f>
        <v>0</v>
      </c>
      <c r="J74" s="135">
        <f>IFERROR(VLOOKUP(C74,'02_TCT GUADAMUR'!$D$6:$O$36,12,FALSE),"")</f>
        <v>1</v>
      </c>
      <c r="K74" s="138">
        <f t="shared" si="70"/>
        <v>1</v>
      </c>
      <c r="L74" s="135">
        <f>IFERROR(VLOOKUP(C74,'03_TCT MAQUEDA'!$D$6:$M$36,10,FALSE),"")</f>
        <v>4</v>
      </c>
      <c r="M74" s="135">
        <f>IFERROR(VLOOKUP(C74,'03_TCT MAQUEDA'!$D$6:$O$36,12,FALSE),"")</f>
        <v>8</v>
      </c>
      <c r="N74" s="138">
        <f t="shared" si="71"/>
        <v>12</v>
      </c>
      <c r="O74" s="135" t="str">
        <f>IFERROR(VLOOKUP(C74,'04_RALLYE CAM'!$D$6:$M$36,10,FALSE),"")</f>
        <v/>
      </c>
      <c r="P74" s="135" t="str">
        <f>IFERROR(VLOOKUP(C74,'04_RALLYE CAM'!$D$6:$O$36,12,FALSE),"")</f>
        <v/>
      </c>
      <c r="Q74" s="138" t="e">
        <f t="shared" si="72"/>
        <v>#VALUE!</v>
      </c>
      <c r="R74" s="135" t="str">
        <f>IFERROR(VLOOKUP(C74,'05_RS NAVALCARNERO'!$D$6:$M$28,10,FALSE),"")</f>
        <v/>
      </c>
      <c r="S74" s="135" t="str">
        <f>IFERROR(VLOOKUP(C74,'05_RS NAVALCARNERO'!$D$6:$O$28,12,FALSE),"")</f>
        <v/>
      </c>
      <c r="T74" s="138" t="e">
        <f t="shared" si="73"/>
        <v>#VALUE!</v>
      </c>
      <c r="U74" s="135" t="str">
        <f>IFERROR(VLOOKUP(C74,'06_TCT NUEVO BAZTÁN'!$D$6:$M$28,10,FALSE),"")</f>
        <v/>
      </c>
      <c r="V74" s="135" t="str">
        <f>IFERROR(VLOOKUP(C74,'06_TCT NUEVO BAZTÁN'!$D$6:$O$28,12,FALSE),"")</f>
        <v/>
      </c>
      <c r="W74" s="138" t="e">
        <f t="shared" si="68"/>
        <v>#VALUE!</v>
      </c>
      <c r="X74" s="139" t="e">
        <f t="shared" si="74"/>
        <v>#VALUE!</v>
      </c>
      <c r="Y74" s="140" t="str">
        <f t="shared" si="75"/>
        <v>Sí</v>
      </c>
      <c r="Z74" s="141">
        <f t="shared" si="76"/>
        <v>6</v>
      </c>
      <c r="AB74" s="261" t="str">
        <f>IFERROR(VLOOKUP(C74,Tabla15[[Piloto]:[Puntos clase]],6, FALSE), " ")</f>
        <v>2RM</v>
      </c>
    </row>
    <row r="75" spans="2:28" ht="12.75" customHeight="1" x14ac:dyDescent="0.3">
      <c r="B75" s="133">
        <v>10</v>
      </c>
      <c r="C75" s="142" t="s">
        <v>319</v>
      </c>
      <c r="D75" s="482">
        <f>IFERROR(VLOOKUP(C75,Tabla15[[Piloto]:[Puntos clase]],7, FALSE), " ")</f>
        <v>3</v>
      </c>
      <c r="E75" s="482" t="str">
        <f>LEFT(AB75,LEN(AB75)-2)</f>
        <v>2</v>
      </c>
      <c r="F75" s="135">
        <f>IFERROR(VLOOKUP(C75,'01_RS ALCARRIA'!$D$6:$M$36,10,FALSE),"")</f>
        <v>0</v>
      </c>
      <c r="G75" s="135">
        <f>IFERROR(VLOOKUP(C75,'01_RS ALCARRIA'!$D$6:$O$36,12,FALSE),"")</f>
        <v>0</v>
      </c>
      <c r="H75" s="138">
        <f t="shared" si="69"/>
        <v>0</v>
      </c>
      <c r="I75" s="135" t="str">
        <f>IFERROR(VLOOKUP(C75,'02_TCT GUADAMUR'!$D$6:$M$36,10,FALSE),"")</f>
        <v/>
      </c>
      <c r="J75" s="135" t="str">
        <f>IFERROR(VLOOKUP(C75,'02_TCT GUADAMUR'!$D$6:$O$36,12,FALSE),"")</f>
        <v/>
      </c>
      <c r="K75" s="138" t="e">
        <f t="shared" si="70"/>
        <v>#VALUE!</v>
      </c>
      <c r="L75" s="135">
        <f>IFERROR(VLOOKUP(C75,'03_TCT MAQUEDA'!$D$6:$M$36,10,FALSE),"")</f>
        <v>0</v>
      </c>
      <c r="M75" s="135">
        <f>IFERROR(VLOOKUP(C75,'03_TCT MAQUEDA'!$D$6:$O$36,12,FALSE),"")</f>
        <v>1</v>
      </c>
      <c r="N75" s="138">
        <f t="shared" si="71"/>
        <v>1</v>
      </c>
      <c r="O75" s="135">
        <f>IFERROR(VLOOKUP(C75,'04_RALLYE CAM'!$D$6:$M$36,10,FALSE),"")</f>
        <v>0</v>
      </c>
      <c r="P75" s="135">
        <f>IFERROR(VLOOKUP(C75,'04_RALLYE CAM'!$D$6:$O$36,12,FALSE),"")</f>
        <v>6</v>
      </c>
      <c r="Q75" s="138">
        <f t="shared" si="72"/>
        <v>18</v>
      </c>
      <c r="R75" s="135" t="str">
        <f>IFERROR(VLOOKUP(C75,'05_RS NAVALCARNERO'!$D$6:$M$28,10,FALSE),"")</f>
        <v/>
      </c>
      <c r="S75" s="135" t="str">
        <f>IFERROR(VLOOKUP(C75,'05_RS NAVALCARNERO'!$D$6:$O$28,12,FALSE),"")</f>
        <v/>
      </c>
      <c r="T75" s="138" t="e">
        <f t="shared" si="73"/>
        <v>#VALUE!</v>
      </c>
      <c r="U75" s="135" t="str">
        <f>IFERROR(VLOOKUP(C75,'06_TCT NUEVO BAZTÁN'!$D$6:$M$28,10,FALSE),"")</f>
        <v/>
      </c>
      <c r="V75" s="135" t="str">
        <f>IFERROR(VLOOKUP(C75,'06_TCT NUEVO BAZTÁN'!$D$6:$O$28,12,FALSE),"")</f>
        <v/>
      </c>
      <c r="W75" s="138" t="e">
        <f t="shared" si="68"/>
        <v>#VALUE!</v>
      </c>
      <c r="X75" s="139" t="e">
        <f t="shared" si="74"/>
        <v>#VALUE!</v>
      </c>
      <c r="Y75" s="140" t="str">
        <f t="shared" si="75"/>
        <v>Sí</v>
      </c>
      <c r="Z75" s="141">
        <f t="shared" si="76"/>
        <v>6</v>
      </c>
      <c r="AB75" s="261" t="str">
        <f>IFERROR(VLOOKUP(C75,Tabla15[[Piloto]:[Puntos clase]],6, FALSE), " ")</f>
        <v>2RM</v>
      </c>
    </row>
    <row r="76" spans="2:28" ht="12.75" customHeight="1" x14ac:dyDescent="0.3">
      <c r="B76" s="133">
        <v>11</v>
      </c>
      <c r="C76" s="142" t="s">
        <v>619</v>
      </c>
      <c r="D76" s="482">
        <f>IFERROR(VLOOKUP(C76,Tabla15[[Piloto]:[Puntos clase]],7, FALSE), " ")</f>
        <v>3</v>
      </c>
      <c r="E76" s="482" t="str">
        <f>LEFT(AB76,LEN(AB76)-2)</f>
        <v>2</v>
      </c>
      <c r="F76" s="135">
        <f>IFERROR(VLOOKUP(C76,'01_RS ALCARRIA'!$D$6:$M$36,10,FALSE),"")</f>
        <v>0</v>
      </c>
      <c r="G76" s="135">
        <f>IFERROR(VLOOKUP(C76,'01_RS ALCARRIA'!$D$6:$O$36,12,FALSE),"")</f>
        <v>0</v>
      </c>
      <c r="H76" s="138">
        <f t="shared" si="69"/>
        <v>0</v>
      </c>
      <c r="I76" s="135" t="str">
        <f>IFERROR(VLOOKUP(C76,'02_TCT GUADAMUR'!$D$6:$M$36,10,FALSE),"")</f>
        <v/>
      </c>
      <c r="J76" s="135" t="str">
        <f>IFERROR(VLOOKUP(C76,'02_TCT GUADAMUR'!$D$6:$O$36,12,FALSE),"")</f>
        <v/>
      </c>
      <c r="K76" s="138" t="e">
        <f t="shared" si="70"/>
        <v>#VALUE!</v>
      </c>
      <c r="L76" s="135" t="str">
        <f>IFERROR(VLOOKUP(C76,'03_TCT MAQUEDA'!$D$6:$M$36,10,FALSE),"")</f>
        <v/>
      </c>
      <c r="M76" s="135" t="str">
        <f>IFERROR(VLOOKUP(C76,'03_TCT MAQUEDA'!$D$6:$O$36,12,FALSE),"")</f>
        <v/>
      </c>
      <c r="N76" s="138" t="e">
        <f t="shared" si="71"/>
        <v>#VALUE!</v>
      </c>
      <c r="O76" s="135" t="str">
        <f>IFERROR(VLOOKUP(C76,'04_RALLYE CAM'!$D$6:$M$36,10,FALSE),"")</f>
        <v/>
      </c>
      <c r="P76" s="135" t="str">
        <f>IFERROR(VLOOKUP(C76,'04_RALLYE CAM'!$D$6:$O$36,12,FALSE),"")</f>
        <v/>
      </c>
      <c r="Q76" s="138" t="e">
        <f t="shared" si="72"/>
        <v>#VALUE!</v>
      </c>
      <c r="R76" s="135" t="str">
        <f>IFERROR(VLOOKUP(C76,'05_RS NAVALCARNERO'!$D$6:$M$28,10,FALSE),"")</f>
        <v/>
      </c>
      <c r="S76" s="135" t="str">
        <f>IFERROR(VLOOKUP(C76,'05_RS NAVALCARNERO'!$D$6:$O$28,12,FALSE),"")</f>
        <v/>
      </c>
      <c r="T76" s="138" t="e">
        <f t="shared" si="73"/>
        <v>#VALUE!</v>
      </c>
      <c r="U76" s="135" t="str">
        <f>IFERROR(VLOOKUP(C76,'06_TCT NUEVO BAZTÁN'!$D$6:$M$28,10,FALSE),"")</f>
        <v/>
      </c>
      <c r="V76" s="135" t="str">
        <f>IFERROR(VLOOKUP(C76,'06_TCT NUEVO BAZTÁN'!$D$6:$O$28,12,FALSE),"")</f>
        <v/>
      </c>
      <c r="W76" s="138" t="e">
        <f t="shared" si="68"/>
        <v>#VALUE!</v>
      </c>
      <c r="X76" s="139" t="e">
        <f t="shared" si="74"/>
        <v>#VALUE!</v>
      </c>
      <c r="Y76" s="140" t="str">
        <f t="shared" si="75"/>
        <v>Sí</v>
      </c>
      <c r="Z76" s="141">
        <f t="shared" si="76"/>
        <v>6</v>
      </c>
      <c r="AB76" s="261" t="str">
        <f>IFERROR(VLOOKUP(C76,Tabla15[[Piloto]:[Puntos clase]],6, FALSE), " ")</f>
        <v>2RM</v>
      </c>
    </row>
    <row r="77" spans="2:28" ht="12.75" customHeight="1" x14ac:dyDescent="0.3">
      <c r="B77" s="133">
        <v>3</v>
      </c>
      <c r="C77" s="142" t="s">
        <v>621</v>
      </c>
      <c r="D77" s="482">
        <v>4</v>
      </c>
      <c r="E77" s="482" t="str">
        <f>LEFT(AB77,LEN(AB77)-2)</f>
        <v>2</v>
      </c>
      <c r="F77" s="135">
        <f>IFERROR(VLOOKUP(C77,'01_RS ALCARRIA'!$D$6:$M$36,10,FALSE),"")</f>
        <v>0</v>
      </c>
      <c r="G77" s="135">
        <f>IFERROR(VLOOKUP(C77,'01_RS ALCARRIA'!$D$6:$O$36,12,FALSE),"")</f>
        <v>6</v>
      </c>
      <c r="H77" s="138">
        <f t="shared" si="69"/>
        <v>12</v>
      </c>
      <c r="I77" s="135">
        <f>IFERROR(VLOOKUP(C77,'02_TCT GUADAMUR'!$D$6:$M$36,10,FALSE),"")</f>
        <v>0</v>
      </c>
      <c r="J77" s="135">
        <f>IFERROR(VLOOKUP(C77,'02_TCT GUADAMUR'!$D$6:$O$36,12,FALSE),"")</f>
        <v>5</v>
      </c>
      <c r="K77" s="138">
        <f t="shared" si="70"/>
        <v>5</v>
      </c>
      <c r="L77" s="135" t="str">
        <f>IFERROR(VLOOKUP(C77,'03_TCT MAQUEDA'!$D$6:$M$36,10,FALSE),"")</f>
        <v/>
      </c>
      <c r="M77" s="135" t="str">
        <f>IFERROR(VLOOKUP(C77,'03_TCT MAQUEDA'!$D$6:$O$36,12,FALSE),"")</f>
        <v/>
      </c>
      <c r="N77" s="138" t="e">
        <f t="shared" si="71"/>
        <v>#VALUE!</v>
      </c>
      <c r="O77" s="135" t="str">
        <f>IFERROR(VLOOKUP(C77,'04_RALLYE CAM'!$D$6:$M$36,10,FALSE),"")</f>
        <v/>
      </c>
      <c r="P77" s="135" t="str">
        <f>IFERROR(VLOOKUP(C77,'04_RALLYE CAM'!$D$6:$O$36,12,FALSE),"")</f>
        <v/>
      </c>
      <c r="Q77" s="138" t="e">
        <f t="shared" si="72"/>
        <v>#VALUE!</v>
      </c>
      <c r="R77" s="135" t="str">
        <f>IFERROR(VLOOKUP(C77,'05_RS NAVALCARNERO'!$D$6:$M$28,10,FALSE),"")</f>
        <v/>
      </c>
      <c r="S77" s="135" t="str">
        <f>IFERROR(VLOOKUP(C77,'05_RS NAVALCARNERO'!$D$6:$O$28,12,FALSE),"")</f>
        <v/>
      </c>
      <c r="T77" s="138" t="e">
        <f t="shared" si="73"/>
        <v>#VALUE!</v>
      </c>
      <c r="U77" s="135" t="str">
        <f>IFERROR(VLOOKUP(C77,'06_TCT NUEVO BAZTÁN'!$D$6:$M$28,10,FALSE),"")</f>
        <v/>
      </c>
      <c r="V77" s="135" t="str">
        <f>IFERROR(VLOOKUP(C77,'06_TCT NUEVO BAZTÁN'!$D$6:$O$28,12,FALSE),"")</f>
        <v/>
      </c>
      <c r="W77" s="138" t="e">
        <f t="shared" si="68"/>
        <v>#VALUE!</v>
      </c>
      <c r="X77" s="139" t="e">
        <f t="shared" si="74"/>
        <v>#VALUE!</v>
      </c>
      <c r="Y77" s="140" t="str">
        <f t="shared" si="75"/>
        <v>Sí</v>
      </c>
      <c r="Z77" s="141">
        <f t="shared" si="76"/>
        <v>6</v>
      </c>
      <c r="AB77" s="261" t="str">
        <f>IFERROR(VLOOKUP(C77,Tabla15[[Piloto]:[Puntos clase]],6, FALSE), " ")</f>
        <v>2RM</v>
      </c>
    </row>
    <row r="78" spans="2:28" ht="12.75" customHeight="1" x14ac:dyDescent="0.3">
      <c r="B78" s="133">
        <v>4</v>
      </c>
      <c r="C78" s="142" t="s">
        <v>624</v>
      </c>
      <c r="D78" s="482">
        <v>4</v>
      </c>
      <c r="E78" s="482">
        <v>2</v>
      </c>
      <c r="F78" s="135">
        <f>IFERROR(VLOOKUP(C78,'01_RS ALCARRIA'!$D$6:$M$36,10,FALSE),"")</f>
        <v>0</v>
      </c>
      <c r="G78" s="135">
        <f>IFERROR(VLOOKUP(C78,'01_RS ALCARRIA'!$D$6:$O$36,12,FALSE),"")</f>
        <v>5</v>
      </c>
      <c r="H78" s="138">
        <f t="shared" si="69"/>
        <v>10</v>
      </c>
      <c r="I78" s="135">
        <f>IFERROR(VLOOKUP(C78,'02_TCT GUADAMUR'!$D$6:$M$36,10,FALSE),"")</f>
        <v>0</v>
      </c>
      <c r="J78" s="135">
        <f>IFERROR(VLOOKUP(C78,'02_TCT GUADAMUR'!$D$6:$O$36,12,FALSE),"")</f>
        <v>6</v>
      </c>
      <c r="K78" s="138">
        <f t="shared" si="70"/>
        <v>6</v>
      </c>
      <c r="L78" s="135">
        <f>IFERROR(VLOOKUP(C78,'03_TCT MAQUEDA'!$D$6:$M$36,10,FALSE),"")</f>
        <v>6</v>
      </c>
      <c r="M78" s="135">
        <f>IFERROR(VLOOKUP(C78,'03_TCT MAQUEDA'!$D$6:$O$36,12,FALSE),"")</f>
        <v>10</v>
      </c>
      <c r="N78" s="138">
        <f t="shared" si="71"/>
        <v>16</v>
      </c>
      <c r="O78" s="135" t="str">
        <f>IFERROR(VLOOKUP(C78,'04_RALLYE CAM'!$D$6:$M$36,10,FALSE),"")</f>
        <v/>
      </c>
      <c r="P78" s="135" t="str">
        <f>IFERROR(VLOOKUP(C78,'04_RALLYE CAM'!$D$6:$O$36,12,FALSE),"")</f>
        <v/>
      </c>
      <c r="Q78" s="138" t="e">
        <f t="shared" si="72"/>
        <v>#VALUE!</v>
      </c>
      <c r="R78" s="135" t="str">
        <f>IFERROR(VLOOKUP(C78,'05_RS NAVALCARNERO'!$D$6:$M$28,10,FALSE),"")</f>
        <v/>
      </c>
      <c r="S78" s="135" t="str">
        <f>IFERROR(VLOOKUP(C78,'05_RS NAVALCARNERO'!$D$6:$O$28,12,FALSE),"")</f>
        <v/>
      </c>
      <c r="T78" s="138" t="e">
        <f t="shared" si="73"/>
        <v>#VALUE!</v>
      </c>
      <c r="U78" s="135" t="str">
        <f>IFERROR(VLOOKUP(C78,'06_TCT NUEVO BAZTÁN'!$D$6:$M$28,10,FALSE),"")</f>
        <v/>
      </c>
      <c r="V78" s="135" t="str">
        <f>IFERROR(VLOOKUP(C78,'06_TCT NUEVO BAZTÁN'!$D$6:$O$28,12,FALSE),"")</f>
        <v/>
      </c>
      <c r="W78" s="138" t="e">
        <f t="shared" si="68"/>
        <v>#VALUE!</v>
      </c>
      <c r="X78" s="139" t="e">
        <f t="shared" si="74"/>
        <v>#VALUE!</v>
      </c>
      <c r="Y78" s="140" t="str">
        <f t="shared" si="75"/>
        <v>Sí</v>
      </c>
      <c r="Z78" s="141">
        <f t="shared" si="76"/>
        <v>6</v>
      </c>
      <c r="AB78" s="261" t="str">
        <f>IFERROR(VLOOKUP(C78,Tabla15[[Piloto]:[Puntos clase]],6, FALSE), " ")</f>
        <v>2RM</v>
      </c>
    </row>
    <row r="79" spans="2:28" ht="12.75" customHeight="1" x14ac:dyDescent="0.3">
      <c r="B79" s="133">
        <v>2</v>
      </c>
      <c r="C79" s="142" t="s">
        <v>626</v>
      </c>
      <c r="D79" s="482">
        <f>IFERROR(VLOOKUP(C79,Tabla15[[Piloto]:[Puntos clase]],7, FALSE), " ")</f>
        <v>5</v>
      </c>
      <c r="E79" s="482" t="str">
        <f>LEFT(AB79,LEN(AB79)-2)</f>
        <v>4</v>
      </c>
      <c r="F79" s="135" t="str">
        <f>IFERROR(VLOOKUP(C79,'01_RS ALCARRIA'!$D$6:$M$36,10,FALSE),"")</f>
        <v/>
      </c>
      <c r="G79" s="135" t="str">
        <f>IFERROR(VLOOKUP(C79,'01_RS ALCARRIA'!$D$6:$O$36,12,FALSE),"")</f>
        <v/>
      </c>
      <c r="H79" s="138" t="e">
        <f t="shared" si="69"/>
        <v>#VALUE!</v>
      </c>
      <c r="I79" s="135">
        <f>IFERROR(VLOOKUP(C79,'02_TCT GUADAMUR'!$D$6:$M$36,10,FALSE),"")</f>
        <v>4</v>
      </c>
      <c r="J79" s="135">
        <f>IFERROR(VLOOKUP(C79,'02_TCT GUADAMUR'!$D$6:$O$36,12,FALSE),"")</f>
        <v>8</v>
      </c>
      <c r="K79" s="138">
        <f t="shared" si="70"/>
        <v>12</v>
      </c>
      <c r="L79" s="135" t="str">
        <f>IFERROR(VLOOKUP(C79,'03_TCT MAQUEDA'!$D$6:$M$36,10,FALSE),"")</f>
        <v/>
      </c>
      <c r="M79" s="135" t="str">
        <f>IFERROR(VLOOKUP(C79,'03_TCT MAQUEDA'!$D$6:$O$36,12,FALSE),"")</f>
        <v/>
      </c>
      <c r="N79" s="138" t="e">
        <f t="shared" si="71"/>
        <v>#VALUE!</v>
      </c>
      <c r="O79" s="135" t="str">
        <f>IFERROR(VLOOKUP(C79,'04_RALLYE CAM'!$D$6:$M$36,10,FALSE),"")</f>
        <v/>
      </c>
      <c r="P79" s="135" t="str">
        <f>IFERROR(VLOOKUP(C79,'04_RALLYE CAM'!$D$6:$O$36,12,FALSE),"")</f>
        <v/>
      </c>
      <c r="Q79" s="138" t="e">
        <f t="shared" si="72"/>
        <v>#VALUE!</v>
      </c>
      <c r="R79" s="135" t="str">
        <f>IFERROR(VLOOKUP(C79,'05_RS NAVALCARNERO'!$D$6:$M$28,10,FALSE),"")</f>
        <v/>
      </c>
      <c r="S79" s="135" t="str">
        <f>IFERROR(VLOOKUP(C79,'05_RS NAVALCARNERO'!$D$6:$O$28,12,FALSE),"")</f>
        <v/>
      </c>
      <c r="T79" s="138" t="e">
        <f t="shared" si="73"/>
        <v>#VALUE!</v>
      </c>
      <c r="U79" s="135" t="str">
        <f>IFERROR(VLOOKUP(C79,'06_TCT NUEVO BAZTÁN'!$D$6:$M$28,10,FALSE),"")</f>
        <v/>
      </c>
      <c r="V79" s="135" t="str">
        <f>IFERROR(VLOOKUP(C79,'06_TCT NUEVO BAZTÁN'!$D$6:$O$28,12,FALSE),"")</f>
        <v/>
      </c>
      <c r="W79" s="138" t="e">
        <f t="shared" si="68"/>
        <v>#VALUE!</v>
      </c>
      <c r="X79" s="139" t="e">
        <f t="shared" si="74"/>
        <v>#VALUE!</v>
      </c>
      <c r="Y79" s="140" t="str">
        <f t="shared" si="75"/>
        <v>Sí</v>
      </c>
      <c r="Z79" s="141">
        <f t="shared" si="76"/>
        <v>6</v>
      </c>
      <c r="AB79" s="261" t="str">
        <f>IFERROR(VLOOKUP(C79,Tabla15[[Piloto]:[Puntos clase]],6, FALSE), " ")</f>
        <v>4RM</v>
      </c>
    </row>
    <row r="80" spans="2:28" ht="12.75" customHeight="1" x14ac:dyDescent="0.3">
      <c r="B80" s="133">
        <v>4</v>
      </c>
      <c r="C80" s="142" t="s">
        <v>628</v>
      </c>
      <c r="D80" s="482">
        <f>IFERROR(VLOOKUP(C80,Tabla15[[Piloto]:[Puntos clase]],7, FALSE), " ")</f>
        <v>2</v>
      </c>
      <c r="E80" s="482" t="str">
        <f>LEFT(AB80,LEN(AB80)-2)</f>
        <v>2</v>
      </c>
      <c r="F80" s="135" t="str">
        <f>IFERROR(VLOOKUP(C80,'01_RS ALCARRIA'!$D$6:$M$36,10,FALSE),"")</f>
        <v/>
      </c>
      <c r="G80" s="135" t="str">
        <f>IFERROR(VLOOKUP(C80,'01_RS ALCARRIA'!$D$6:$O$36,12,FALSE),"")</f>
        <v/>
      </c>
      <c r="H80" s="138" t="e">
        <f t="shared" si="69"/>
        <v>#VALUE!</v>
      </c>
      <c r="I80" s="135" t="str">
        <f>IFERROR(VLOOKUP(C80,'02_TCT GUADAMUR'!$D$6:$M$36,10,FALSE),"")</f>
        <v/>
      </c>
      <c r="J80" s="135" t="str">
        <f>IFERROR(VLOOKUP(C80,'02_TCT GUADAMUR'!$D$6:$O$36,12,FALSE),"")</f>
        <v/>
      </c>
      <c r="K80" s="138" t="e">
        <f t="shared" si="70"/>
        <v>#VALUE!</v>
      </c>
      <c r="L80" s="135">
        <f>IFERROR(VLOOKUP(C80,'03_TCT MAQUEDA'!$D$6:$M$36,10,FALSE),"")</f>
        <v>0</v>
      </c>
      <c r="M80" s="135">
        <f>IFERROR(VLOOKUP(C80,'03_TCT MAQUEDA'!$D$6:$O$36,12,FALSE),"")</f>
        <v>5</v>
      </c>
      <c r="N80" s="138">
        <f t="shared" si="71"/>
        <v>5</v>
      </c>
      <c r="O80" s="135" t="str">
        <f>IFERROR(VLOOKUP(C80,'04_RALLYE CAM'!$D$6:$M$36,10,FALSE),"")</f>
        <v/>
      </c>
      <c r="P80" s="135" t="str">
        <f>IFERROR(VLOOKUP(C80,'04_RALLYE CAM'!$D$6:$O$36,12,FALSE),"")</f>
        <v/>
      </c>
      <c r="Q80" s="138" t="e">
        <f t="shared" si="72"/>
        <v>#VALUE!</v>
      </c>
      <c r="R80" s="135" t="str">
        <f>IFERROR(VLOOKUP(C80,'05_RS NAVALCARNERO'!$D$6:$M$28,10,FALSE),"")</f>
        <v/>
      </c>
      <c r="S80" s="135" t="str">
        <f>IFERROR(VLOOKUP(C80,'05_RS NAVALCARNERO'!$D$6:$O$28,12,FALSE),"")</f>
        <v/>
      </c>
      <c r="T80" s="138" t="e">
        <f t="shared" si="73"/>
        <v>#VALUE!</v>
      </c>
      <c r="U80" s="135" t="str">
        <f>IFERROR(VLOOKUP(C80,'06_TCT NUEVO BAZTÁN'!$D$6:$M$28,10,FALSE),"")</f>
        <v/>
      </c>
      <c r="V80" s="135" t="str">
        <f>IFERROR(VLOOKUP(C80,'06_TCT NUEVO BAZTÁN'!$D$6:$O$28,12,FALSE),"")</f>
        <v/>
      </c>
      <c r="W80" s="138" t="e">
        <f t="shared" si="68"/>
        <v>#VALUE!</v>
      </c>
      <c r="X80" s="139" t="e">
        <f t="shared" si="74"/>
        <v>#VALUE!</v>
      </c>
      <c r="Y80" s="140" t="str">
        <f t="shared" si="75"/>
        <v>Sí</v>
      </c>
      <c r="Z80" s="141">
        <f t="shared" si="76"/>
        <v>6</v>
      </c>
      <c r="AB80" s="261" t="str">
        <f>IFERROR(VLOOKUP(C80,Tabla15[[Piloto]:[Puntos clase]],6, FALSE), " ")</f>
        <v>2RM</v>
      </c>
    </row>
    <row r="81" spans="2:28" ht="12.75" customHeight="1" x14ac:dyDescent="0.3">
      <c r="B81" s="133">
        <v>3</v>
      </c>
      <c r="C81" s="142" t="s">
        <v>408</v>
      </c>
      <c r="D81" s="482">
        <f>IFERROR(VLOOKUP(C81,Tabla15[[Piloto]:[Puntos clase]],7, FALSE), " ")</f>
        <v>5</v>
      </c>
      <c r="E81" s="482" t="str">
        <f>LEFT(AB81,LEN(AB81)-2)</f>
        <v>2</v>
      </c>
      <c r="F81" s="135" t="str">
        <f>IFERROR(VLOOKUP(C81,'01_RS ALCARRIA'!$D$6:$M$36,10,FALSE),"")</f>
        <v/>
      </c>
      <c r="G81" s="135" t="str">
        <f>IFERROR(VLOOKUP(C81,'01_RS ALCARRIA'!$D$6:$O$36,12,FALSE),"")</f>
        <v/>
      </c>
      <c r="H81" s="138" t="e">
        <f t="shared" si="69"/>
        <v>#VALUE!</v>
      </c>
      <c r="I81" s="135">
        <f>IFERROR(VLOOKUP(C81,'02_TCT GUADAMUR'!$D$6:$M$36,10,FALSE),"")</f>
        <v>0</v>
      </c>
      <c r="J81" s="135">
        <f>IFERROR(VLOOKUP(C81,'02_TCT GUADAMUR'!$D$6:$O$36,12,FALSE),"")</f>
        <v>6</v>
      </c>
      <c r="K81" s="138">
        <f t="shared" si="70"/>
        <v>6</v>
      </c>
      <c r="L81" s="135">
        <f>IFERROR(VLOOKUP(C81,'03_TCT MAQUEDA'!$D$6:$M$36,10,FALSE),"")</f>
        <v>10</v>
      </c>
      <c r="M81" s="284">
        <f>IFERROR(VLOOKUP(C81,'03_TCT MAQUEDA'!$D$6:$O$36,12,FALSE),"")/2</f>
        <v>5</v>
      </c>
      <c r="N81" s="138">
        <f t="shared" si="71"/>
        <v>15</v>
      </c>
      <c r="O81" s="135" t="str">
        <f>IFERROR(VLOOKUP(C81,'04_RALLYE CAM'!$D$6:$M$36,10,FALSE),"")</f>
        <v/>
      </c>
      <c r="P81" s="135" t="str">
        <f>IFERROR(VLOOKUP(C81,'04_RALLYE CAM'!$D$6:$O$36,12,FALSE),"")</f>
        <v/>
      </c>
      <c r="Q81" s="138" t="e">
        <f t="shared" si="72"/>
        <v>#VALUE!</v>
      </c>
      <c r="R81" s="135" t="str">
        <f>IFERROR(VLOOKUP(C81,'05_RS NAVALCARNERO'!$D$6:$M$28,10,FALSE),"")</f>
        <v/>
      </c>
      <c r="S81" s="135" t="str">
        <f>IFERROR(VLOOKUP(C81,'05_RS NAVALCARNERO'!$D$6:$O$28,12,FALSE),"")</f>
        <v/>
      </c>
      <c r="T81" s="138" t="e">
        <f t="shared" si="73"/>
        <v>#VALUE!</v>
      </c>
      <c r="U81" s="135" t="str">
        <f>IFERROR(VLOOKUP(C81,'06_TCT NUEVO BAZTÁN'!$D$6:$M$28,10,FALSE),"")</f>
        <v/>
      </c>
      <c r="V81" s="135" t="str">
        <f>IFERROR(VLOOKUP(C81,'06_TCT NUEVO BAZTÁN'!$D$6:$O$28,12,FALSE),"")</f>
        <v/>
      </c>
      <c r="W81" s="138" t="e">
        <f t="shared" si="68"/>
        <v>#VALUE!</v>
      </c>
      <c r="X81" s="139" t="e">
        <f t="shared" si="74"/>
        <v>#VALUE!</v>
      </c>
      <c r="Y81" s="140" t="str">
        <f t="shared" si="75"/>
        <v>Sí</v>
      </c>
      <c r="Z81" s="141">
        <f t="shared" si="76"/>
        <v>6</v>
      </c>
      <c r="AB81" s="261" t="str">
        <f>IFERROR(VLOOKUP(C81,Tabla15[[Piloto]:[Puntos clase]],6, FALSE), " ")</f>
        <v>2RM</v>
      </c>
    </row>
    <row r="82" spans="2:28" ht="12.75" customHeight="1" x14ac:dyDescent="0.3">
      <c r="B82" s="133">
        <v>12</v>
      </c>
      <c r="C82" s="142" t="s">
        <v>632</v>
      </c>
      <c r="D82" s="482">
        <v>3</v>
      </c>
      <c r="E82" s="482">
        <v>2</v>
      </c>
      <c r="F82" s="135" t="str">
        <f>IFERROR(VLOOKUP(C82,'01_RS ALCARRIA'!$D$6:$M$36,10,FALSE),"")</f>
        <v/>
      </c>
      <c r="G82" s="135" t="str">
        <f>IFERROR(VLOOKUP(C82,'01_RS ALCARRIA'!$D$6:$O$36,12,FALSE),"")</f>
        <v/>
      </c>
      <c r="H82" s="138" t="e">
        <f t="shared" si="69"/>
        <v>#VALUE!</v>
      </c>
      <c r="I82" s="135" t="str">
        <f>IFERROR(VLOOKUP(C82,'02_TCT GUADAMUR'!$D$6:$M$36,10,FALSE),"")</f>
        <v/>
      </c>
      <c r="J82" s="135" t="str">
        <f>IFERROR(VLOOKUP(C82,'02_TCT GUADAMUR'!$D$6:$O$36,12,FALSE),"")</f>
        <v/>
      </c>
      <c r="K82" s="138" t="e">
        <f t="shared" si="70"/>
        <v>#VALUE!</v>
      </c>
      <c r="L82" s="135">
        <f>IFERROR(VLOOKUP(C82,'03_TCT MAQUEDA'!$D$6:$M$36,10,FALSE),"")</f>
        <v>1</v>
      </c>
      <c r="M82" s="135">
        <f>IFERROR(VLOOKUP(C82,'03_TCT MAQUEDA'!$D$6:$O$36,12,FALSE),"")</f>
        <v>5</v>
      </c>
      <c r="N82" s="138">
        <f t="shared" si="71"/>
        <v>6</v>
      </c>
      <c r="O82" s="135" t="str">
        <f>IFERROR(VLOOKUP(C82,'04_RALLYE CAM'!$D$6:$M$36,10,FALSE),"")</f>
        <v/>
      </c>
      <c r="P82" s="135" t="str">
        <f>IFERROR(VLOOKUP(C82,'04_RALLYE CAM'!$D$6:$O$36,12,FALSE),"")</f>
        <v/>
      </c>
      <c r="Q82" s="138" t="e">
        <f t="shared" si="72"/>
        <v>#VALUE!</v>
      </c>
      <c r="R82" s="135" t="str">
        <f>IFERROR(VLOOKUP(C82,'05_RS NAVALCARNERO'!$D$6:$M$28,10,FALSE),"")</f>
        <v/>
      </c>
      <c r="S82" s="135" t="str">
        <f>IFERROR(VLOOKUP(C82,'05_RS NAVALCARNERO'!$D$6:$O$28,12,FALSE),"")</f>
        <v/>
      </c>
      <c r="T82" s="138" t="e">
        <f t="shared" si="73"/>
        <v>#VALUE!</v>
      </c>
      <c r="U82" s="135" t="str">
        <f>IFERROR(VLOOKUP(C82,'06_TCT NUEVO BAZTÁN'!$D$6:$M$28,10,FALSE),"")</f>
        <v/>
      </c>
      <c r="V82" s="135" t="str">
        <f>IFERROR(VLOOKUP(C82,'06_TCT NUEVO BAZTÁN'!$D$6:$O$28,12,FALSE),"")</f>
        <v/>
      </c>
      <c r="W82" s="138" t="e">
        <f t="shared" si="68"/>
        <v>#VALUE!</v>
      </c>
      <c r="X82" s="139" t="e">
        <f t="shared" si="74"/>
        <v>#VALUE!</v>
      </c>
      <c r="Y82" s="140" t="str">
        <f t="shared" si="75"/>
        <v>Sí</v>
      </c>
      <c r="Z82" s="141">
        <f t="shared" si="76"/>
        <v>6</v>
      </c>
      <c r="AB82" s="261" t="str">
        <f>IFERROR(VLOOKUP(C82,Tabla15[[Piloto]:[Puntos clase]],6, FALSE), " ")</f>
        <v>2RM</v>
      </c>
    </row>
    <row r="83" spans="2:28" ht="12.75" customHeight="1" x14ac:dyDescent="0.3">
      <c r="B83" s="133">
        <v>4</v>
      </c>
      <c r="C83" s="142" t="s">
        <v>635</v>
      </c>
      <c r="D83" s="482">
        <f>IFERROR(VLOOKUP(C83,Tabla15[[Piloto]:[Puntos clase]],7, FALSE), " ")</f>
        <v>5</v>
      </c>
      <c r="E83" s="482">
        <v>2</v>
      </c>
      <c r="F83" s="135" t="str">
        <f>IFERROR(VLOOKUP(C83,'01_RS ALCARRIA'!$D$6:$M$36,10,FALSE),"")</f>
        <v/>
      </c>
      <c r="G83" s="135" t="str">
        <f>IFERROR(VLOOKUP(C83,'01_RS ALCARRIA'!$D$6:$O$36,12,FALSE),"")</f>
        <v/>
      </c>
      <c r="H83" s="138" t="e">
        <f t="shared" si="69"/>
        <v>#VALUE!</v>
      </c>
      <c r="I83" s="135" t="str">
        <f>IFERROR(VLOOKUP(C83,'02_TCT GUADAMUR'!$D$6:$M$36,10,FALSE),"")</f>
        <v/>
      </c>
      <c r="J83" s="135" t="str">
        <f>IFERROR(VLOOKUP(C83,'02_TCT GUADAMUR'!$D$6:$O$36,12,FALSE),"")</f>
        <v/>
      </c>
      <c r="K83" s="138" t="e">
        <f t="shared" si="70"/>
        <v>#VALUE!</v>
      </c>
      <c r="L83" s="135" t="str">
        <f>IFERROR(VLOOKUP(C83,'03_TCT MAQUEDA'!$D$6:$M$36,10,FALSE),"")</f>
        <v/>
      </c>
      <c r="M83" s="135" t="str">
        <f>IFERROR(VLOOKUP(C83,'03_TCT MAQUEDA'!$D$6:$O$36,12,FALSE),"")</f>
        <v/>
      </c>
      <c r="N83" s="138" t="e">
        <f t="shared" si="71"/>
        <v>#VALUE!</v>
      </c>
      <c r="O83" s="135" t="str">
        <f>IFERROR(VLOOKUP(C83,'04_RALLYE CAM'!$D$6:$M$36,10,FALSE),"")</f>
        <v/>
      </c>
      <c r="P83" s="135" t="str">
        <f>IFERROR(VLOOKUP(C83,'04_RALLYE CAM'!$D$6:$O$36,12,FALSE),"")</f>
        <v/>
      </c>
      <c r="Q83" s="138" t="e">
        <f t="shared" si="72"/>
        <v>#VALUE!</v>
      </c>
      <c r="R83" s="135" t="str">
        <f>IFERROR(VLOOKUP(C83,'05_RS NAVALCARNERO'!$D$6:$M$28,10,FALSE),"")</f>
        <v/>
      </c>
      <c r="S83" s="135" t="str">
        <f>IFERROR(VLOOKUP(C83,'05_RS NAVALCARNERO'!$D$6:$O$28,12,FALSE),"")</f>
        <v/>
      </c>
      <c r="T83" s="138" t="e">
        <f t="shared" si="73"/>
        <v>#VALUE!</v>
      </c>
      <c r="U83" s="135" t="str">
        <f>IFERROR(VLOOKUP(C83,'06_TCT NUEVO BAZTÁN'!$D$6:$M$28,10,FALSE),"")</f>
        <v/>
      </c>
      <c r="V83" s="135" t="str">
        <f>IFERROR(VLOOKUP(C83,'06_TCT NUEVO BAZTÁN'!$D$6:$O$28,12,FALSE),"")</f>
        <v/>
      </c>
      <c r="W83" s="138" t="e">
        <f t="shared" si="68"/>
        <v>#VALUE!</v>
      </c>
      <c r="X83" s="139" t="e">
        <f t="shared" si="74"/>
        <v>#VALUE!</v>
      </c>
      <c r="Y83" s="140" t="str">
        <f t="shared" si="75"/>
        <v>Sí</v>
      </c>
      <c r="Z83" s="141">
        <f t="shared" si="76"/>
        <v>6</v>
      </c>
      <c r="AB83" s="261" t="str">
        <f>IFERROR(VLOOKUP(C83,Tabla15[[Piloto]:[Puntos clase]],6, FALSE), " ")</f>
        <v>2RM</v>
      </c>
    </row>
    <row r="84" spans="2:28" ht="12.75" customHeight="1" x14ac:dyDescent="0.3">
      <c r="B84" s="133">
        <v>5</v>
      </c>
      <c r="C84" s="142" t="s">
        <v>637</v>
      </c>
      <c r="D84" s="482">
        <f>IFERROR(VLOOKUP(C84,Tabla15[[Piloto]:[Puntos clase]],7, FALSE), " ")</f>
        <v>4</v>
      </c>
      <c r="E84" s="482">
        <v>2</v>
      </c>
      <c r="F84" s="135" t="str">
        <f>IFERROR(VLOOKUP(C84,'01_RS ALCARRIA'!$D$6:$M$36,10,FALSE),"")</f>
        <v/>
      </c>
      <c r="G84" s="135" t="str">
        <f>IFERROR(VLOOKUP(C84,'01_RS ALCARRIA'!$D$6:$O$36,12,FALSE),"")</f>
        <v/>
      </c>
      <c r="H84" s="138" t="e">
        <f t="shared" si="69"/>
        <v>#VALUE!</v>
      </c>
      <c r="I84" s="135" t="str">
        <f>IFERROR(VLOOKUP(C84,'02_TCT GUADAMUR'!$D$6:$M$36,10,FALSE),"")</f>
        <v/>
      </c>
      <c r="J84" s="135" t="str">
        <f>IFERROR(VLOOKUP(C84,'02_TCT GUADAMUR'!$D$6:$O$36,12,FALSE),"")</f>
        <v/>
      </c>
      <c r="K84" s="138" t="e">
        <f t="shared" si="70"/>
        <v>#VALUE!</v>
      </c>
      <c r="L84" s="135" t="str">
        <f>IFERROR(VLOOKUP(C84,'03_TCT MAQUEDA'!$D$6:$M$36,10,FALSE),"")</f>
        <v/>
      </c>
      <c r="M84" s="135" t="str">
        <f>IFERROR(VLOOKUP(C84,'03_TCT MAQUEDA'!$D$6:$O$36,12,FALSE),"")</f>
        <v/>
      </c>
      <c r="N84" s="138" t="e">
        <f t="shared" si="71"/>
        <v>#VALUE!</v>
      </c>
      <c r="O84" s="135" t="str">
        <f>IFERROR(VLOOKUP(C84,'04_RALLYE CAM'!$D$6:$M$36,10,FALSE),"")</f>
        <v/>
      </c>
      <c r="P84" s="135" t="str">
        <f>IFERROR(VLOOKUP(C84,'04_RALLYE CAM'!$D$6:$O$36,12,FALSE),"")</f>
        <v/>
      </c>
      <c r="Q84" s="138" t="e">
        <f t="shared" si="72"/>
        <v>#VALUE!</v>
      </c>
      <c r="R84" s="135" t="str">
        <f>IFERROR(VLOOKUP(C84,'05_RS NAVALCARNERO'!$D$6:$M$28,10,FALSE),"")</f>
        <v/>
      </c>
      <c r="S84" s="135" t="str">
        <f>IFERROR(VLOOKUP(C84,'05_RS NAVALCARNERO'!$D$6:$O$28,12,FALSE),"")</f>
        <v/>
      </c>
      <c r="T84" s="138" t="e">
        <f t="shared" si="73"/>
        <v>#VALUE!</v>
      </c>
      <c r="U84" s="135" t="str">
        <f>IFERROR(VLOOKUP(C84,'06_TCT NUEVO BAZTÁN'!$D$6:$M$28,10,FALSE),"")</f>
        <v/>
      </c>
      <c r="V84" s="135" t="str">
        <f>IFERROR(VLOOKUP(C84,'06_TCT NUEVO BAZTÁN'!$D$6:$O$28,12,FALSE),"")</f>
        <v/>
      </c>
      <c r="W84" s="138" t="e">
        <f t="shared" si="68"/>
        <v>#VALUE!</v>
      </c>
      <c r="X84" s="139" t="e">
        <f t="shared" si="74"/>
        <v>#VALUE!</v>
      </c>
      <c r="Y84" s="140" t="str">
        <f t="shared" si="75"/>
        <v>Sí</v>
      </c>
      <c r="Z84" s="141">
        <f t="shared" si="76"/>
        <v>6</v>
      </c>
      <c r="AB84" s="261" t="str">
        <f>IFERROR(VLOOKUP(C84,Tabla15[[Piloto]:[Puntos clase]],6, FALSE), " ")</f>
        <v>2RM</v>
      </c>
    </row>
    <row r="85" spans="2:28" ht="12.75" customHeight="1" x14ac:dyDescent="0.3">
      <c r="B85" s="133">
        <v>7</v>
      </c>
      <c r="C85" s="142" t="s">
        <v>668</v>
      </c>
      <c r="D85" s="482">
        <v>2</v>
      </c>
      <c r="E85" s="482">
        <v>2</v>
      </c>
      <c r="F85" s="135" t="str">
        <f>IFERROR(VLOOKUP(C85,'01_RS ALCARRIA'!$D$6:$M$36,10,FALSE),"")</f>
        <v/>
      </c>
      <c r="G85" s="135" t="str">
        <f>IFERROR(VLOOKUP(C85,'01_RS ALCARRIA'!$D$6:$O$36,12,FALSE),"")</f>
        <v/>
      </c>
      <c r="H85" s="138" t="e">
        <f t="shared" si="69"/>
        <v>#VALUE!</v>
      </c>
      <c r="I85" s="135">
        <f>IFERROR(VLOOKUP(C85,'02_TCT GUADAMUR'!$D$6:$M$36,10,FALSE),"")</f>
        <v>20</v>
      </c>
      <c r="J85" s="135">
        <f>IFERROR(VLOOKUP(C85,'02_TCT GUADAMUR'!$D$6:$O$36,12,FALSE),"")</f>
        <v>8</v>
      </c>
      <c r="K85" s="138">
        <f t="shared" si="70"/>
        <v>28</v>
      </c>
      <c r="L85" s="135">
        <f>IFERROR(VLOOKUP(C85,'03_TCT MAQUEDA'!$D$6:$M$36,10,FALSE),"")</f>
        <v>12</v>
      </c>
      <c r="M85" s="135">
        <f>IFERROR(VLOOKUP(C85,'03_TCT MAQUEDA'!$D$6:$O$36,12,FALSE),"")</f>
        <v>6</v>
      </c>
      <c r="N85" s="138">
        <f t="shared" si="71"/>
        <v>18</v>
      </c>
      <c r="O85" s="135" t="str">
        <f>IFERROR(VLOOKUP(C85,'04_RALLYE CAM'!$D$6:$M$36,10,FALSE),"")</f>
        <v/>
      </c>
      <c r="P85" s="135" t="str">
        <f>IFERROR(VLOOKUP(C85,'04_RALLYE CAM'!$D$6:$O$36,12,FALSE),"")</f>
        <v/>
      </c>
      <c r="Q85" s="138" t="e">
        <f t="shared" si="72"/>
        <v>#VALUE!</v>
      </c>
      <c r="R85" s="135" t="str">
        <f>IFERROR(VLOOKUP(C85,'05_RS NAVALCARNERO'!$D$6:$M$28,10,FALSE),"")</f>
        <v/>
      </c>
      <c r="S85" s="135" t="str">
        <f>IFERROR(VLOOKUP(C85,'05_RS NAVALCARNERO'!$D$6:$O$28,12,FALSE),"")</f>
        <v/>
      </c>
      <c r="T85" s="138" t="e">
        <f t="shared" si="73"/>
        <v>#VALUE!</v>
      </c>
      <c r="U85" s="135" t="str">
        <f>IFERROR(VLOOKUP(C85,'06_TCT NUEVO BAZTÁN'!$D$6:$M$28,10,FALSE),"")</f>
        <v/>
      </c>
      <c r="V85" s="135" t="str">
        <f>IFERROR(VLOOKUP(C85,'06_TCT NUEVO BAZTÁN'!$D$6:$O$28,12,FALSE),"")</f>
        <v/>
      </c>
      <c r="W85" s="138" t="e">
        <f t="shared" si="68"/>
        <v>#VALUE!</v>
      </c>
      <c r="X85" s="139" t="e">
        <f t="shared" si="74"/>
        <v>#VALUE!</v>
      </c>
      <c r="Y85" s="140" t="str">
        <f t="shared" si="75"/>
        <v>Sí</v>
      </c>
      <c r="Z85" s="141">
        <f t="shared" si="76"/>
        <v>6</v>
      </c>
      <c r="AB85" s="261" t="str">
        <f>IFERROR(VLOOKUP(C85,Tabla15[[Piloto]:[Puntos clase]],6, FALSE), " ")</f>
        <v xml:space="preserve"> </v>
      </c>
    </row>
    <row r="86" spans="2:28" ht="12.75" customHeight="1" x14ac:dyDescent="0.3">
      <c r="B86" s="133">
        <v>8</v>
      </c>
      <c r="C86" s="142" t="s">
        <v>212</v>
      </c>
      <c r="D86" s="482">
        <v>3</v>
      </c>
      <c r="E86" s="482">
        <v>2</v>
      </c>
      <c r="F86" s="135" t="str">
        <f>IFERROR(VLOOKUP(C86,'01_RS ALCARRIA'!$D$6:$M$36,10,FALSE),"")</f>
        <v/>
      </c>
      <c r="G86" s="135" t="str">
        <f>IFERROR(VLOOKUP(C86,'01_RS ALCARRIA'!$D$6:$O$36,12,FALSE),"")</f>
        <v/>
      </c>
      <c r="H86" s="138" t="e">
        <f t="shared" si="69"/>
        <v>#VALUE!</v>
      </c>
      <c r="I86" s="135">
        <f>IFERROR(VLOOKUP(C86,'02_TCT GUADAMUR'!$D$6:$M$36,10,FALSE),"")</f>
        <v>12</v>
      </c>
      <c r="J86" s="135">
        <f>IFERROR(VLOOKUP(C86,'02_TCT GUADAMUR'!$D$6:$O$36,12,FALSE),"")</f>
        <v>10</v>
      </c>
      <c r="K86" s="138">
        <f t="shared" si="70"/>
        <v>22</v>
      </c>
      <c r="L86" s="135" t="str">
        <f>IFERROR(VLOOKUP(C86,'03_TCT MAQUEDA'!$D$6:$M$36,10,FALSE),"")</f>
        <v/>
      </c>
      <c r="M86" s="135" t="str">
        <f>IFERROR(VLOOKUP(C86,'03_TCT MAQUEDA'!$D$6:$O$36,12,FALSE),"")</f>
        <v/>
      </c>
      <c r="N86" s="138" t="e">
        <f t="shared" si="71"/>
        <v>#VALUE!</v>
      </c>
      <c r="O86" s="135" t="str">
        <f>IFERROR(VLOOKUP(C86,'04_RALLYE CAM'!$D$6:$M$36,10,FALSE),"")</f>
        <v/>
      </c>
      <c r="P86" s="135" t="str">
        <f>IFERROR(VLOOKUP(C86,'04_RALLYE CAM'!$D$6:$O$36,12,FALSE),"")</f>
        <v/>
      </c>
      <c r="Q86" s="138" t="e">
        <f t="shared" si="72"/>
        <v>#VALUE!</v>
      </c>
      <c r="R86" s="135">
        <f>IFERROR(VLOOKUP(C86,'05_RS NAVALCARNERO'!$D$6:$M$28,10,FALSE),"")</f>
        <v>6</v>
      </c>
      <c r="S86" s="135">
        <f>IFERROR(VLOOKUP(C86,'05_RS NAVALCARNERO'!$D$6:$O$28,12,FALSE),"")</f>
        <v>6</v>
      </c>
      <c r="T86" s="138">
        <f t="shared" si="73"/>
        <v>24</v>
      </c>
      <c r="U86" s="135">
        <f>IFERROR(VLOOKUP(C86,'06_TCT NUEVO BAZTÁN'!$D$6:$M$28,10,FALSE),"")</f>
        <v>6</v>
      </c>
      <c r="V86" s="135">
        <f>IFERROR(VLOOKUP(C86,'06_TCT NUEVO BAZTÁN'!$D$6:$O$28,12,FALSE),"")</f>
        <v>6</v>
      </c>
      <c r="W86" s="138">
        <f t="shared" si="68"/>
        <v>12</v>
      </c>
      <c r="X86" s="139" t="e">
        <f t="shared" si="74"/>
        <v>#VALUE!</v>
      </c>
      <c r="Y86" s="140" t="str">
        <f t="shared" si="75"/>
        <v>Sí</v>
      </c>
      <c r="Z86" s="141">
        <f t="shared" si="76"/>
        <v>6</v>
      </c>
      <c r="AB86" s="261" t="str">
        <f>IFERROR(VLOOKUP(C86,Tabla15[[Piloto]:[Puntos clase]],6, FALSE), " ")</f>
        <v xml:space="preserve"> </v>
      </c>
    </row>
    <row r="87" spans="2:28" ht="12.75" customHeight="1" x14ac:dyDescent="0.3">
      <c r="B87" s="133">
        <v>8</v>
      </c>
      <c r="C87" s="142" t="s">
        <v>671</v>
      </c>
      <c r="D87" s="482">
        <v>3</v>
      </c>
      <c r="E87" s="482">
        <v>2</v>
      </c>
      <c r="F87" s="135" t="str">
        <f>IFERROR(VLOOKUP(C87,'01_RS ALCARRIA'!$D$6:$M$36,10,FALSE),"")</f>
        <v/>
      </c>
      <c r="G87" s="135" t="str">
        <f>IFERROR(VLOOKUP(C87,'01_RS ALCARRIA'!$D$6:$O$36,12,FALSE),"")</f>
        <v/>
      </c>
      <c r="H87" s="138" t="e">
        <f t="shared" si="69"/>
        <v>#VALUE!</v>
      </c>
      <c r="I87" s="135">
        <f>IFERROR(VLOOKUP(C87,'02_TCT GUADAMUR'!$D$6:$M$36,10,FALSE),"")</f>
        <v>5</v>
      </c>
      <c r="J87" s="135">
        <f>IFERROR(VLOOKUP(C87,'02_TCT GUADAMUR'!$D$6:$O$36,12,FALSE),"")</f>
        <v>6</v>
      </c>
      <c r="K87" s="138">
        <f t="shared" si="70"/>
        <v>11</v>
      </c>
      <c r="L87" s="135">
        <v>0</v>
      </c>
      <c r="M87" s="135">
        <v>0</v>
      </c>
      <c r="N87" s="138">
        <f t="shared" si="71"/>
        <v>0</v>
      </c>
      <c r="O87" s="135" t="str">
        <f>IFERROR(VLOOKUP(C87,'04_RALLYE CAM'!$D$6:$M$36,10,FALSE),"")</f>
        <v/>
      </c>
      <c r="P87" s="135" t="str">
        <f>IFERROR(VLOOKUP(C87,'04_RALLYE CAM'!$D$6:$O$36,12,FALSE),"")</f>
        <v/>
      </c>
      <c r="Q87" s="138" t="e">
        <f t="shared" si="72"/>
        <v>#VALUE!</v>
      </c>
      <c r="R87" s="135" t="str">
        <f>IFERROR(VLOOKUP(C87,'05_RS NAVALCARNERO'!$D$6:$M$28,10,FALSE),"")</f>
        <v/>
      </c>
      <c r="S87" s="135" t="str">
        <f>IFERROR(VLOOKUP(C87,'05_RS NAVALCARNERO'!$D$6:$O$28,12,FALSE),"")</f>
        <v/>
      </c>
      <c r="T87" s="138" t="e">
        <f t="shared" si="73"/>
        <v>#VALUE!</v>
      </c>
      <c r="U87" s="135" t="str">
        <f>IFERROR(VLOOKUP(C87,'06_TCT NUEVO BAZTÁN'!$D$6:$M$28,10,FALSE),"")</f>
        <v/>
      </c>
      <c r="V87" s="135" t="str">
        <f>IFERROR(VLOOKUP(C87,'06_TCT NUEVO BAZTÁN'!$D$6:$O$28,12,FALSE),"")</f>
        <v/>
      </c>
      <c r="W87" s="138" t="e">
        <f t="shared" si="68"/>
        <v>#VALUE!</v>
      </c>
      <c r="X87" s="139" t="e">
        <f t="shared" si="74"/>
        <v>#VALUE!</v>
      </c>
      <c r="Y87" s="140" t="str">
        <f t="shared" si="75"/>
        <v>Sí</v>
      </c>
      <c r="Z87" s="141">
        <f t="shared" si="76"/>
        <v>6</v>
      </c>
      <c r="AB87" s="261" t="str">
        <f>IFERROR(VLOOKUP(C87,Tabla15[[Piloto]:[Puntos clase]],6, FALSE), " ")</f>
        <v xml:space="preserve"> </v>
      </c>
    </row>
    <row r="88" spans="2:28" ht="12.75" customHeight="1" x14ac:dyDescent="0.3">
      <c r="B88" s="133">
        <v>9</v>
      </c>
      <c r="C88" s="142" t="s">
        <v>674</v>
      </c>
      <c r="D88" s="482">
        <v>2</v>
      </c>
      <c r="E88" s="482">
        <v>2</v>
      </c>
      <c r="F88" s="135" t="str">
        <f>IFERROR(VLOOKUP(C88,'01_RS ALCARRIA'!$D$6:$M$36,10,FALSE),"")</f>
        <v/>
      </c>
      <c r="G88" s="135" t="str">
        <f>IFERROR(VLOOKUP(C88,'01_RS ALCARRIA'!$D$6:$O$36,12,FALSE),"")</f>
        <v/>
      </c>
      <c r="H88" s="138" t="e">
        <f t="shared" si="69"/>
        <v>#VALUE!</v>
      </c>
      <c r="I88" s="135">
        <f>IFERROR(VLOOKUP(C88,'02_TCT GUADAMUR'!$D$6:$M$36,10,FALSE),"")</f>
        <v>0</v>
      </c>
      <c r="J88" s="135">
        <f>IFERROR(VLOOKUP(C88,'02_TCT GUADAMUR'!$D$6:$O$36,12,FALSE),"")</f>
        <v>5</v>
      </c>
      <c r="K88" s="138">
        <f t="shared" si="70"/>
        <v>5</v>
      </c>
      <c r="L88" s="135">
        <v>0</v>
      </c>
      <c r="M88" s="135">
        <v>0</v>
      </c>
      <c r="N88" s="138">
        <f t="shared" si="71"/>
        <v>0</v>
      </c>
      <c r="O88" s="135" t="str">
        <f>IFERROR(VLOOKUP(C88,'04_RALLYE CAM'!$D$6:$M$36,10,FALSE),"")</f>
        <v/>
      </c>
      <c r="P88" s="135" t="str">
        <f>IFERROR(VLOOKUP(C88,'04_RALLYE CAM'!$D$6:$O$36,12,FALSE),"")</f>
        <v/>
      </c>
      <c r="Q88" s="138" t="e">
        <f t="shared" si="72"/>
        <v>#VALUE!</v>
      </c>
      <c r="R88" s="135" t="str">
        <f>IFERROR(VLOOKUP(C88,'05_RS NAVALCARNERO'!$D$6:$M$28,10,FALSE),"")</f>
        <v/>
      </c>
      <c r="S88" s="135" t="str">
        <f>IFERROR(VLOOKUP(C88,'05_RS NAVALCARNERO'!$D$6:$O$28,12,FALSE),"")</f>
        <v/>
      </c>
      <c r="T88" s="138" t="e">
        <f t="shared" si="73"/>
        <v>#VALUE!</v>
      </c>
      <c r="U88" s="135" t="str">
        <f>IFERROR(VLOOKUP(C88,'06_TCT NUEVO BAZTÁN'!$D$6:$M$28,10,FALSE),"")</f>
        <v/>
      </c>
      <c r="V88" s="135" t="str">
        <f>IFERROR(VLOOKUP(C88,'06_TCT NUEVO BAZTÁN'!$D$6:$O$28,12,FALSE),"")</f>
        <v/>
      </c>
      <c r="W88" s="138" t="e">
        <f t="shared" si="68"/>
        <v>#VALUE!</v>
      </c>
      <c r="X88" s="139" t="e">
        <f t="shared" si="74"/>
        <v>#VALUE!</v>
      </c>
      <c r="Y88" s="140" t="str">
        <f t="shared" si="75"/>
        <v>Sí</v>
      </c>
      <c r="Z88" s="141">
        <f t="shared" si="76"/>
        <v>6</v>
      </c>
      <c r="AB88" s="261" t="str">
        <f>IFERROR(VLOOKUP(C88,Tabla15[[Piloto]:[Puntos clase]],6, FALSE), " ")</f>
        <v xml:space="preserve"> </v>
      </c>
    </row>
    <row r="89" spans="2:28" ht="12.75" customHeight="1" x14ac:dyDescent="0.3">
      <c r="B89" s="133">
        <v>6</v>
      </c>
      <c r="C89" s="142" t="s">
        <v>676</v>
      </c>
      <c r="D89" s="482">
        <v>4</v>
      </c>
      <c r="E89" s="482">
        <v>2</v>
      </c>
      <c r="F89" s="135" t="str">
        <f>IFERROR(VLOOKUP(C89,'01_RS ALCARRIA'!$D$6:$M$36,10,FALSE),"")</f>
        <v/>
      </c>
      <c r="G89" s="135" t="str">
        <f>IFERROR(VLOOKUP(C89,'01_RS ALCARRIA'!$D$6:$O$36,12,FALSE),"")</f>
        <v/>
      </c>
      <c r="H89" s="138" t="e">
        <f t="shared" si="69"/>
        <v>#VALUE!</v>
      </c>
      <c r="I89" s="135">
        <f>IFERROR(VLOOKUP(C89,'02_TCT GUADAMUR'!$D$6:$M$36,10,FALSE),"")</f>
        <v>0</v>
      </c>
      <c r="J89" s="135">
        <f>IFERROR(VLOOKUP(C89,'02_TCT GUADAMUR'!$D$6:$O$36,12,FALSE),"")</f>
        <v>3</v>
      </c>
      <c r="K89" s="138">
        <f t="shared" si="70"/>
        <v>3</v>
      </c>
      <c r="L89" s="135">
        <f>IFERROR(VLOOKUP(C89,'03_TCT MAQUEDA'!$D$6:$M$36,10,FALSE),"")</f>
        <v>0</v>
      </c>
      <c r="M89" s="135">
        <f>IFERROR(VLOOKUP(C89,'03_TCT MAQUEDA'!$D$6:$O$36,12,FALSE),"")</f>
        <v>6</v>
      </c>
      <c r="N89" s="138">
        <f t="shared" si="71"/>
        <v>6</v>
      </c>
      <c r="O89" s="135" t="str">
        <f>IFERROR(VLOOKUP(C89,'04_RALLYE CAM'!$D$6:$M$36,10,FALSE),"")</f>
        <v/>
      </c>
      <c r="P89" s="135" t="str">
        <f>IFERROR(VLOOKUP(C89,'04_RALLYE CAM'!$D$6:$O$36,12,FALSE),"")</f>
        <v/>
      </c>
      <c r="Q89" s="138" t="e">
        <f t="shared" si="72"/>
        <v>#VALUE!</v>
      </c>
      <c r="R89" s="135" t="str">
        <f>IFERROR(VLOOKUP(C89,'05_RS NAVALCARNERO'!$D$6:$M$28,10,FALSE),"")</f>
        <v/>
      </c>
      <c r="S89" s="135" t="str">
        <f>IFERROR(VLOOKUP(C89,'05_RS NAVALCARNERO'!$D$6:$O$28,12,FALSE),"")</f>
        <v/>
      </c>
      <c r="T89" s="138" t="e">
        <f t="shared" si="73"/>
        <v>#VALUE!</v>
      </c>
      <c r="U89" s="135" t="str">
        <f>IFERROR(VLOOKUP(C89,'06_TCT NUEVO BAZTÁN'!$D$6:$M$28,10,FALSE),"")</f>
        <v/>
      </c>
      <c r="V89" s="135" t="str">
        <f>IFERROR(VLOOKUP(C89,'06_TCT NUEVO BAZTÁN'!$D$6:$O$28,12,FALSE),"")</f>
        <v/>
      </c>
      <c r="W89" s="138" t="e">
        <f t="shared" si="68"/>
        <v>#VALUE!</v>
      </c>
      <c r="X89" s="139" t="e">
        <f t="shared" si="74"/>
        <v>#VALUE!</v>
      </c>
      <c r="Y89" s="140" t="str">
        <f t="shared" si="75"/>
        <v>Sí</v>
      </c>
      <c r="Z89" s="141">
        <f t="shared" si="76"/>
        <v>6</v>
      </c>
      <c r="AB89" s="261" t="str">
        <f>IFERROR(VLOOKUP(C89,Tabla15[[Piloto]:[Puntos clase]],6, FALSE), " ")</f>
        <v xml:space="preserve"> </v>
      </c>
    </row>
    <row r="90" spans="2:28" ht="12.75" customHeight="1" x14ac:dyDescent="0.3">
      <c r="B90" s="133">
        <v>7</v>
      </c>
      <c r="C90" s="142" t="s">
        <v>238</v>
      </c>
      <c r="D90" s="482">
        <v>1</v>
      </c>
      <c r="E90" s="482">
        <v>4</v>
      </c>
      <c r="F90" s="135" t="str">
        <f>IFERROR(VLOOKUP(C90,'01_RS ALCARRIA'!$D$6:$M$36,10,FALSE),"")</f>
        <v/>
      </c>
      <c r="G90" s="135" t="str">
        <f>IFERROR(VLOOKUP(C90,'01_RS ALCARRIA'!$D$6:$O$36,12,FALSE),"")</f>
        <v/>
      </c>
      <c r="H90" s="138" t="e">
        <f t="shared" si="69"/>
        <v>#VALUE!</v>
      </c>
      <c r="I90" s="135" t="str">
        <f>IFERROR(VLOOKUP(C90,'02_TCT GUADAMUR'!$D$6:$M$36,10,FALSE),"")</f>
        <v/>
      </c>
      <c r="J90" s="135" t="str">
        <f>IFERROR(VLOOKUP(C90,'02_TCT GUADAMUR'!$D$6:$O$36,12,FALSE),"")</f>
        <v/>
      </c>
      <c r="K90" s="138" t="e">
        <f t="shared" si="70"/>
        <v>#VALUE!</v>
      </c>
      <c r="L90" s="135" t="str">
        <f>IFERROR(VLOOKUP(C90,'03_TCT MAQUEDA'!$D$6:$M$36,10,FALSE),"")</f>
        <v/>
      </c>
      <c r="M90" s="135" t="str">
        <f>IFERROR(VLOOKUP(C90,'03_TCT MAQUEDA'!$D$6:$O$36,12,FALSE),"")</f>
        <v/>
      </c>
      <c r="N90" s="138" t="e">
        <f t="shared" si="71"/>
        <v>#VALUE!</v>
      </c>
      <c r="O90" s="135">
        <f>IFERROR(VLOOKUP(C90,'04_RALLYE CAM'!$D$6:$M$36,10,FALSE),"")</f>
        <v>17</v>
      </c>
      <c r="P90" s="135">
        <f>IFERROR(VLOOKUP(C90,'04_RALLYE CAM'!$D$6:$O$36,12,FALSE),"")</f>
        <v>6</v>
      </c>
      <c r="Q90" s="138">
        <f t="shared" si="72"/>
        <v>69</v>
      </c>
      <c r="R90" s="135" t="str">
        <f>IFERROR(VLOOKUP(C90,'05_RS NAVALCARNERO'!$D$6:$M$28,10,FALSE),"")</f>
        <v/>
      </c>
      <c r="S90" s="135" t="str">
        <f>IFERROR(VLOOKUP(C90,'05_RS NAVALCARNERO'!$D$6:$O$28,12,FALSE),"")</f>
        <v/>
      </c>
      <c r="T90" s="138" t="e">
        <f t="shared" si="73"/>
        <v>#VALUE!</v>
      </c>
      <c r="U90" s="135" t="str">
        <f>IFERROR(VLOOKUP(C90,'06_TCT NUEVO BAZTÁN'!$D$6:$M$28,10,FALSE),"")</f>
        <v/>
      </c>
      <c r="V90" s="135" t="str">
        <f>IFERROR(VLOOKUP(C90,'06_TCT NUEVO BAZTÁN'!$D$6:$O$28,12,FALSE),"")</f>
        <v/>
      </c>
      <c r="W90" s="138" t="e">
        <f t="shared" si="68"/>
        <v>#VALUE!</v>
      </c>
      <c r="X90" s="139" t="e">
        <f t="shared" si="74"/>
        <v>#VALUE!</v>
      </c>
      <c r="Y90" s="140" t="str">
        <f t="shared" si="75"/>
        <v>Sí</v>
      </c>
      <c r="Z90" s="141">
        <f t="shared" si="76"/>
        <v>6</v>
      </c>
      <c r="AB90" s="261" t="str">
        <f>IFERROR(VLOOKUP(C90,Tabla15[[Piloto]:[Puntos clase]],6, FALSE), " ")</f>
        <v xml:space="preserve"> </v>
      </c>
    </row>
    <row r="91" spans="2:28" ht="12.75" customHeight="1" x14ac:dyDescent="0.3">
      <c r="B91" s="133">
        <v>10</v>
      </c>
      <c r="C91" s="142" t="s">
        <v>678</v>
      </c>
      <c r="D91" s="482">
        <v>1</v>
      </c>
      <c r="E91" s="482">
        <v>4</v>
      </c>
      <c r="F91" s="135" t="str">
        <f>IFERROR(VLOOKUP(C91,'01_RS ALCARRIA'!$D$6:$M$36,10,FALSE),"")</f>
        <v/>
      </c>
      <c r="G91" s="135" t="str">
        <f>IFERROR(VLOOKUP(C91,'01_RS ALCARRIA'!$D$6:$O$36,12,FALSE),"")</f>
        <v/>
      </c>
      <c r="H91" s="138" t="e">
        <f t="shared" si="69"/>
        <v>#VALUE!</v>
      </c>
      <c r="I91" s="135" t="str">
        <f>IFERROR(VLOOKUP(C91,'02_TCT GUADAMUR'!$D$6:$M$36,10,FALSE),"")</f>
        <v/>
      </c>
      <c r="J91" s="135" t="str">
        <f>IFERROR(VLOOKUP(C91,'02_TCT GUADAMUR'!$D$6:$O$36,12,FALSE),"")</f>
        <v/>
      </c>
      <c r="K91" s="138" t="e">
        <f t="shared" si="70"/>
        <v>#VALUE!</v>
      </c>
      <c r="L91" s="135">
        <f>IFERROR(VLOOKUP(C91,'03_TCT MAQUEDA'!$D$6:$M$36,10,FALSE),"")</f>
        <v>0</v>
      </c>
      <c r="M91" s="135">
        <f>IFERROR(VLOOKUP(C91,'03_TCT MAQUEDA'!$D$6:$O$36,12,FALSE),"")</f>
        <v>6</v>
      </c>
      <c r="N91" s="138">
        <f t="shared" si="71"/>
        <v>6</v>
      </c>
      <c r="O91" s="135" t="str">
        <f>IFERROR(VLOOKUP(C91,'04_RALLYE CAM'!$D$6:$M$36,10,FALSE),"")</f>
        <v/>
      </c>
      <c r="P91" s="135" t="str">
        <f>IFERROR(VLOOKUP(C91,'04_RALLYE CAM'!$D$6:$O$36,12,FALSE),"")</f>
        <v/>
      </c>
      <c r="Q91" s="138" t="e">
        <f t="shared" si="72"/>
        <v>#VALUE!</v>
      </c>
      <c r="R91" s="135" t="str">
        <f>IFERROR(VLOOKUP(C91,'05_RS NAVALCARNERO'!$D$6:$M$28,10,FALSE),"")</f>
        <v/>
      </c>
      <c r="S91" s="135" t="str">
        <f>IFERROR(VLOOKUP(C91,'05_RS NAVALCARNERO'!$D$6:$O$28,12,FALSE),"")</f>
        <v/>
      </c>
      <c r="T91" s="138" t="e">
        <f t="shared" si="73"/>
        <v>#VALUE!</v>
      </c>
      <c r="U91" s="135" t="str">
        <f>IFERROR(VLOOKUP(C91,'06_TCT NUEVO BAZTÁN'!$D$6:$M$28,10,FALSE),"")</f>
        <v/>
      </c>
      <c r="V91" s="135" t="str">
        <f>IFERROR(VLOOKUP(C91,'06_TCT NUEVO BAZTÁN'!$D$6:$O$28,12,FALSE),"")</f>
        <v/>
      </c>
      <c r="W91" s="138" t="e">
        <f t="shared" si="68"/>
        <v>#VALUE!</v>
      </c>
      <c r="X91" s="139" t="e">
        <f t="shared" si="74"/>
        <v>#VALUE!</v>
      </c>
      <c r="Y91" s="140" t="str">
        <f t="shared" si="75"/>
        <v>Sí</v>
      </c>
      <c r="Z91" s="141">
        <f t="shared" si="76"/>
        <v>6</v>
      </c>
      <c r="AB91" s="261" t="str">
        <f>IFERROR(VLOOKUP(C91,Tabla15[[Piloto]:[Puntos clase]],6, FALSE), " ")</f>
        <v xml:space="preserve"> </v>
      </c>
    </row>
    <row r="92" spans="2:28" ht="12.75" customHeight="1" x14ac:dyDescent="0.3">
      <c r="B92" s="133">
        <v>8</v>
      </c>
      <c r="C92" s="142" t="s">
        <v>680</v>
      </c>
      <c r="D92" s="482">
        <v>3</v>
      </c>
      <c r="E92" s="482">
        <v>2</v>
      </c>
      <c r="F92" s="135" t="str">
        <f>IFERROR(VLOOKUP(C92,'01_RS ALCARRIA'!$D$6:$M$36,10,FALSE),"")</f>
        <v/>
      </c>
      <c r="G92" s="135" t="str">
        <f>IFERROR(VLOOKUP(C92,'01_RS ALCARRIA'!$D$6:$O$36,12,FALSE),"")</f>
        <v/>
      </c>
      <c r="H92" s="138" t="e">
        <f t="shared" si="69"/>
        <v>#VALUE!</v>
      </c>
      <c r="I92" s="135" t="str">
        <f>IFERROR(VLOOKUP(C92,'02_TCT GUADAMUR'!$D$6:$M$36,10,FALSE),"")</f>
        <v/>
      </c>
      <c r="J92" s="135" t="str">
        <f>IFERROR(VLOOKUP(C92,'02_TCT GUADAMUR'!$D$6:$O$36,12,FALSE),"")</f>
        <v/>
      </c>
      <c r="K92" s="138" t="e">
        <f t="shared" si="70"/>
        <v>#VALUE!</v>
      </c>
      <c r="L92" s="135">
        <v>0</v>
      </c>
      <c r="M92" s="135">
        <v>0</v>
      </c>
      <c r="N92" s="138">
        <f t="shared" si="71"/>
        <v>0</v>
      </c>
      <c r="O92" s="135" t="str">
        <f>IFERROR(VLOOKUP(C92,'04_RALLYE CAM'!$D$6:$M$36,10,FALSE),"")</f>
        <v/>
      </c>
      <c r="P92" s="135" t="str">
        <f>IFERROR(VLOOKUP(C92,'04_RALLYE CAM'!$D$6:$O$36,12,FALSE),"")</f>
        <v/>
      </c>
      <c r="Q92" s="138" t="e">
        <f t="shared" si="72"/>
        <v>#VALUE!</v>
      </c>
      <c r="R92" s="135" t="str">
        <f>IFERROR(VLOOKUP(C92,'05_RS NAVALCARNERO'!$D$6:$M$28,10,FALSE),"")</f>
        <v/>
      </c>
      <c r="S92" s="135" t="str">
        <f>IFERROR(VLOOKUP(C92,'05_RS NAVALCARNERO'!$D$6:$O$28,12,FALSE),"")</f>
        <v/>
      </c>
      <c r="T92" s="138" t="e">
        <f t="shared" si="73"/>
        <v>#VALUE!</v>
      </c>
      <c r="U92" s="135" t="str">
        <f>IFERROR(VLOOKUP(C92,'06_TCT NUEVO BAZTÁN'!$D$6:$M$28,10,FALSE),"")</f>
        <v/>
      </c>
      <c r="V92" s="135" t="str">
        <f>IFERROR(VLOOKUP(C92,'06_TCT NUEVO BAZTÁN'!$D$6:$O$28,12,FALSE),"")</f>
        <v/>
      </c>
      <c r="W92" s="138" t="e">
        <f t="shared" si="68"/>
        <v>#VALUE!</v>
      </c>
      <c r="X92" s="139" t="e">
        <f t="shared" si="74"/>
        <v>#VALUE!</v>
      </c>
      <c r="Y92" s="140" t="str">
        <f t="shared" si="75"/>
        <v>Sí</v>
      </c>
      <c r="Z92" s="141">
        <f t="shared" si="76"/>
        <v>6</v>
      </c>
      <c r="AB92" s="261" t="str">
        <f>IFERROR(VLOOKUP(C92,Tabla15[[Piloto]:[Puntos clase]],6, FALSE), " ")</f>
        <v xml:space="preserve"> </v>
      </c>
    </row>
    <row r="93" spans="2:28" ht="12.75" customHeight="1" x14ac:dyDescent="0.3">
      <c r="B93" s="133">
        <v>11</v>
      </c>
      <c r="C93" s="142" t="s">
        <v>683</v>
      </c>
      <c r="D93" s="482">
        <v>4</v>
      </c>
      <c r="E93" s="482">
        <v>2</v>
      </c>
      <c r="F93" s="135" t="str">
        <f>IFERROR(VLOOKUP(C93,'01_RS ALCARRIA'!$D$6:$M$36,10,FALSE),"")</f>
        <v/>
      </c>
      <c r="G93" s="135" t="str">
        <f>IFERROR(VLOOKUP(C93,'01_RS ALCARRIA'!$D$6:$O$36,12,FALSE),"")</f>
        <v/>
      </c>
      <c r="H93" s="138" t="e">
        <f t="shared" si="69"/>
        <v>#VALUE!</v>
      </c>
      <c r="I93" s="135" t="str">
        <f>IFERROR(VLOOKUP(C93,'02_TCT GUADAMUR'!$D$6:$M$36,10,FALSE),"")</f>
        <v/>
      </c>
      <c r="J93" s="135" t="str">
        <f>IFERROR(VLOOKUP(C93,'02_TCT GUADAMUR'!$D$6:$O$36,12,FALSE),"")</f>
        <v/>
      </c>
      <c r="K93" s="138" t="e">
        <f t="shared" si="70"/>
        <v>#VALUE!</v>
      </c>
      <c r="L93" s="135">
        <f>IFERROR(VLOOKUP(C93,'03_TCT MAQUEDA'!$D$6:$M$36,10,FALSE),"")</f>
        <v>0</v>
      </c>
      <c r="M93" s="135">
        <f>IFERROR(VLOOKUP(C93,'03_TCT MAQUEDA'!$D$6:$O$36,12,FALSE),"")</f>
        <v>5</v>
      </c>
      <c r="N93" s="138">
        <f t="shared" si="71"/>
        <v>5</v>
      </c>
      <c r="O93" s="135" t="str">
        <f>IFERROR(VLOOKUP(C93,'04_RALLYE CAM'!$D$6:$M$36,10,FALSE),"")</f>
        <v/>
      </c>
      <c r="P93" s="135" t="str">
        <f>IFERROR(VLOOKUP(C93,'04_RALLYE CAM'!$D$6:$O$36,12,FALSE),"")</f>
        <v/>
      </c>
      <c r="Q93" s="138" t="e">
        <f t="shared" si="72"/>
        <v>#VALUE!</v>
      </c>
      <c r="R93" s="135" t="str">
        <f>IFERROR(VLOOKUP(C93,'05_RS NAVALCARNERO'!$D$6:$M$28,10,FALSE),"")</f>
        <v/>
      </c>
      <c r="S93" s="135" t="str">
        <f>IFERROR(VLOOKUP(C93,'05_RS NAVALCARNERO'!$D$6:$O$28,12,FALSE),"")</f>
        <v/>
      </c>
      <c r="T93" s="138" t="e">
        <f t="shared" si="73"/>
        <v>#VALUE!</v>
      </c>
      <c r="U93" s="135" t="str">
        <f>IFERROR(VLOOKUP(C93,'06_TCT NUEVO BAZTÁN'!$D$6:$M$28,10,FALSE),"")</f>
        <v/>
      </c>
      <c r="V93" s="135" t="str">
        <f>IFERROR(VLOOKUP(C93,'06_TCT NUEVO BAZTÁN'!$D$6:$O$28,12,FALSE),"")</f>
        <v/>
      </c>
      <c r="W93" s="138" t="e">
        <f t="shared" si="68"/>
        <v>#VALUE!</v>
      </c>
      <c r="X93" s="139" t="e">
        <f t="shared" si="74"/>
        <v>#VALUE!</v>
      </c>
      <c r="Y93" s="140" t="str">
        <f t="shared" si="75"/>
        <v>Sí</v>
      </c>
      <c r="Z93" s="141">
        <f t="shared" si="76"/>
        <v>6</v>
      </c>
      <c r="AB93" s="261" t="str">
        <f>IFERROR(VLOOKUP(C93,Tabla15[[Piloto]:[Puntos clase]],6, FALSE), " ")</f>
        <v xml:space="preserve"> </v>
      </c>
    </row>
    <row r="94" spans="2:28" ht="12.75" customHeight="1" x14ac:dyDescent="0.3">
      <c r="B94" s="133">
        <v>12</v>
      </c>
      <c r="C94" s="142" t="s">
        <v>695</v>
      </c>
      <c r="D94" s="227">
        <v>1</v>
      </c>
      <c r="E94" s="227">
        <v>4</v>
      </c>
      <c r="F94" s="135" t="str">
        <f>IFERROR(VLOOKUP(C94,'01_RS ALCARRIA'!$D$6:$M$36,10,FALSE),"")</f>
        <v/>
      </c>
      <c r="G94" s="135" t="str">
        <f>IFERROR(VLOOKUP(C94,'01_RS ALCARRIA'!$D$6:$O$36,12,FALSE),"")</f>
        <v/>
      </c>
      <c r="H94" s="138" t="e">
        <f t="shared" si="69"/>
        <v>#VALUE!</v>
      </c>
      <c r="I94" s="135" t="str">
        <f>IFERROR(VLOOKUP(C94,'02_TCT GUADAMUR'!$D$6:$M$36,10,FALSE),"")</f>
        <v/>
      </c>
      <c r="J94" s="135" t="str">
        <f>IFERROR(VLOOKUP(C94,'02_TCT GUADAMUR'!$D$6:$O$36,12,FALSE),"")</f>
        <v/>
      </c>
      <c r="K94" s="138" t="e">
        <f t="shared" si="70"/>
        <v>#VALUE!</v>
      </c>
      <c r="L94" s="135">
        <f>IFERROR(VLOOKUP(C94,'03_TCT MAQUEDA'!$D$6:$M$36,10,FALSE),"")</f>
        <v>25</v>
      </c>
      <c r="M94" s="135">
        <f>IFERROR(VLOOKUP(C94,'03_TCT MAQUEDA'!$D$6:$O$36,12,FALSE),"")</f>
        <v>10</v>
      </c>
      <c r="N94" s="138">
        <f t="shared" si="71"/>
        <v>35</v>
      </c>
      <c r="O94" s="135" t="str">
        <f>IFERROR(VLOOKUP(C94,'04_RALLYE CAM'!$D$6:$M$36,10,FALSE),"")</f>
        <v/>
      </c>
      <c r="P94" s="135" t="str">
        <f>IFERROR(VLOOKUP(C94,'04_RALLYE CAM'!$D$6:$O$36,12,FALSE),"")</f>
        <v/>
      </c>
      <c r="Q94" s="138" t="e">
        <f t="shared" si="72"/>
        <v>#VALUE!</v>
      </c>
      <c r="R94" s="135" t="str">
        <f>IFERROR(VLOOKUP(C94,'05_RS NAVALCARNERO'!$D$6:$M$28,10,FALSE),"")</f>
        <v/>
      </c>
      <c r="S94" s="135" t="str">
        <f>IFERROR(VLOOKUP(C94,'05_RS NAVALCARNERO'!$D$6:$O$28,12,FALSE),"")</f>
        <v/>
      </c>
      <c r="T94" s="138" t="e">
        <f t="shared" si="73"/>
        <v>#VALUE!</v>
      </c>
      <c r="U94" s="135" t="str">
        <f>IFERROR(VLOOKUP(C94,'06_TCT NUEVO BAZTÁN'!$D$6:$M$28,10,FALSE),"")</f>
        <v/>
      </c>
      <c r="V94" s="135" t="str">
        <f>IFERROR(VLOOKUP(C94,'06_TCT NUEVO BAZTÁN'!$D$6:$O$28,12,FALSE),"")</f>
        <v/>
      </c>
      <c r="W94" s="138" t="e">
        <f t="shared" si="68"/>
        <v>#VALUE!</v>
      </c>
      <c r="X94" s="139" t="e">
        <f t="shared" si="74"/>
        <v>#VALUE!</v>
      </c>
      <c r="Y94" s="140" t="str">
        <f t="shared" si="75"/>
        <v>Sí</v>
      </c>
      <c r="Z94" s="141">
        <f t="shared" si="76"/>
        <v>6</v>
      </c>
      <c r="AB94" s="261" t="str">
        <f>IFERROR(VLOOKUP(C94,Tabla15[[Piloto]:[Puntos clase]],6, FALSE), " ")</f>
        <v xml:space="preserve"> </v>
      </c>
    </row>
    <row r="95" spans="2:28" ht="12.75" customHeight="1" x14ac:dyDescent="0.3">
      <c r="B95" s="133"/>
      <c r="C95" s="142" t="s">
        <v>281</v>
      </c>
      <c r="D95" s="227">
        <v>1</v>
      </c>
      <c r="E95" s="227">
        <v>4</v>
      </c>
      <c r="F95" s="135" t="str">
        <f>IFERROR(VLOOKUP(C95,'01_RS ALCARRIA'!$D$6:$M$36,10,FALSE),"")</f>
        <v/>
      </c>
      <c r="G95" s="135" t="str">
        <f>IFERROR(VLOOKUP(C95,'01_RS ALCARRIA'!$D$6:$O$36,12,FALSE),"")</f>
        <v/>
      </c>
      <c r="H95" s="138" t="e">
        <f t="shared" si="69"/>
        <v>#VALUE!</v>
      </c>
      <c r="I95" s="135" t="str">
        <f>IFERROR(VLOOKUP(C95,'02_TCT GUADAMUR'!$D$6:$M$36,10,FALSE),"")</f>
        <v/>
      </c>
      <c r="J95" s="135" t="str">
        <f>IFERROR(VLOOKUP(C95,'02_TCT GUADAMUR'!$D$6:$O$36,12,FALSE),"")</f>
        <v/>
      </c>
      <c r="K95" s="138" t="e">
        <f t="shared" si="70"/>
        <v>#VALUE!</v>
      </c>
      <c r="L95" s="135">
        <f>IFERROR(VLOOKUP(C95,'03_TCT MAQUEDA'!$D$6:$M$36,10,FALSE),"")</f>
        <v>20</v>
      </c>
      <c r="M95" s="135">
        <f>IFERROR(VLOOKUP(C95,'03_TCT MAQUEDA'!$D$6:$O$36,12,FALSE),"")</f>
        <v>8</v>
      </c>
      <c r="N95" s="138">
        <f t="shared" si="71"/>
        <v>28</v>
      </c>
      <c r="O95" s="135" t="str">
        <f>IFERROR(VLOOKUP(C95,'04_RALLYE CAM'!$D$6:$M$36,10,FALSE),"")</f>
        <v/>
      </c>
      <c r="P95" s="135" t="str">
        <f>IFERROR(VLOOKUP(C95,'04_RALLYE CAM'!$D$6:$O$36,12,FALSE),"")</f>
        <v/>
      </c>
      <c r="Q95" s="138" t="e">
        <f t="shared" si="72"/>
        <v>#VALUE!</v>
      </c>
      <c r="R95" s="135" t="str">
        <f>IFERROR(VLOOKUP(C95,'05_RS NAVALCARNERO'!$D$6:$M$28,10,FALSE),"")</f>
        <v/>
      </c>
      <c r="S95" s="135" t="str">
        <f>IFERROR(VLOOKUP(C95,'05_RS NAVALCARNERO'!$D$6:$O$28,12,FALSE),"")</f>
        <v/>
      </c>
      <c r="T95" s="138" t="e">
        <f t="shared" si="73"/>
        <v>#VALUE!</v>
      </c>
      <c r="U95" s="135" t="str">
        <f>IFERROR(VLOOKUP(C95,'06_TCT NUEVO BAZTÁN'!$D$6:$M$28,10,FALSE),"")</f>
        <v/>
      </c>
      <c r="V95" s="135" t="str">
        <f>IFERROR(VLOOKUP(C95,'06_TCT NUEVO BAZTÁN'!$D$6:$O$28,12,FALSE),"")</f>
        <v/>
      </c>
      <c r="W95" s="138" t="e">
        <f t="shared" si="68"/>
        <v>#VALUE!</v>
      </c>
      <c r="X95" s="139" t="e">
        <f t="shared" si="74"/>
        <v>#VALUE!</v>
      </c>
      <c r="Y95" s="140" t="str">
        <f t="shared" si="75"/>
        <v>Sí</v>
      </c>
      <c r="Z95" s="141">
        <f t="shared" si="76"/>
        <v>6</v>
      </c>
      <c r="AB95" s="261" t="str">
        <f>IFERROR(VLOOKUP(C95,Tabla15[[Piloto]:[Puntos clase]],6, FALSE), " ")</f>
        <v xml:space="preserve"> </v>
      </c>
    </row>
    <row r="96" spans="2:28" ht="12.75" customHeight="1" x14ac:dyDescent="0.3">
      <c r="B96" s="133"/>
      <c r="C96" s="142" t="s">
        <v>698</v>
      </c>
      <c r="D96" s="227">
        <v>5</v>
      </c>
      <c r="E96" s="227">
        <v>2</v>
      </c>
      <c r="F96" s="135" t="str">
        <f>IFERROR(VLOOKUP(C96,'01_RS ALCARRIA'!$D$6:$M$36,10,FALSE),"")</f>
        <v/>
      </c>
      <c r="G96" s="135" t="str">
        <f>IFERROR(VLOOKUP(C96,'01_RS ALCARRIA'!$D$6:$O$36,12,FALSE),"")</f>
        <v/>
      </c>
      <c r="H96" s="138" t="e">
        <f t="shared" ref="H96" si="78">(F96+G96)*2</f>
        <v>#VALUE!</v>
      </c>
      <c r="I96" s="135" t="str">
        <f>IFERROR(VLOOKUP(C96,'02_TCT GUADAMUR'!$D$6:$M$36,10,FALSE),"")</f>
        <v/>
      </c>
      <c r="J96" s="135" t="str">
        <f>IFERROR(VLOOKUP(C96,'02_TCT GUADAMUR'!$D$6:$O$36,12,FALSE),"")</f>
        <v/>
      </c>
      <c r="K96" s="138" t="e">
        <f t="shared" ref="K96" si="79">(I96+J96)</f>
        <v>#VALUE!</v>
      </c>
      <c r="L96" s="135">
        <f>IFERROR(VLOOKUP(C96,'03_TCT MAQUEDA'!$D$6:$M$36,10,FALSE),"")</f>
        <v>3</v>
      </c>
      <c r="M96" s="284">
        <f>IFERROR(VLOOKUP(C96,'03_TCT MAQUEDA'!$D$6:$O$36,12,FALSE),"")/2</f>
        <v>4</v>
      </c>
      <c r="N96" s="138">
        <f t="shared" ref="N96" si="80">(L96+M96)</f>
        <v>7</v>
      </c>
      <c r="O96" s="135" t="str">
        <f>IFERROR(VLOOKUP(C96,'04_RALLYE CAM'!$D$6:$M$36,10,FALSE),"")</f>
        <v/>
      </c>
      <c r="P96" s="135" t="str">
        <f>IFERROR(VLOOKUP(C96,'04_RALLYE CAM'!$D$6:$O$36,12,FALSE),"")</f>
        <v/>
      </c>
      <c r="Q96" s="138" t="e">
        <f t="shared" ref="Q96" si="81">(O96+P96)*3</f>
        <v>#VALUE!</v>
      </c>
      <c r="R96" s="135" t="str">
        <f>IFERROR(VLOOKUP(C96,'05_RS NAVALCARNERO'!$D$6:$M$28,10,FALSE),"")</f>
        <v/>
      </c>
      <c r="S96" s="135" t="str">
        <f>IFERROR(VLOOKUP(C96,'05_RS NAVALCARNERO'!$D$6:$O$28,12,FALSE),"")</f>
        <v/>
      </c>
      <c r="T96" s="138" t="e">
        <f t="shared" ref="T96" si="82">(R96+S96)*2</f>
        <v>#VALUE!</v>
      </c>
      <c r="U96" s="135" t="str">
        <f>IFERROR(VLOOKUP(C96,'06_TCT NUEVO BAZTÁN'!$D$6:$M$28,10,FALSE),"")</f>
        <v/>
      </c>
      <c r="V96" s="135" t="str">
        <f>IFERROR(VLOOKUP(C96,'06_TCT NUEVO BAZTÁN'!$D$6:$O$28,12,FALSE),"")</f>
        <v/>
      </c>
      <c r="W96" s="138" t="e">
        <f t="shared" ref="W96" si="83">(U96+V96)</f>
        <v>#VALUE!</v>
      </c>
      <c r="X96" s="139" t="e">
        <f t="shared" ref="X96" si="84">H96+K96+N96+Q96+T96+W96</f>
        <v>#VALUE!</v>
      </c>
      <c r="Y96" s="140"/>
      <c r="Z96" s="141"/>
    </row>
    <row r="97" spans="2:29" ht="12.75" customHeight="1" x14ac:dyDescent="0.3">
      <c r="B97" s="133"/>
      <c r="C97" s="142" t="s">
        <v>410</v>
      </c>
      <c r="D97" s="227">
        <v>3</v>
      </c>
      <c r="E97" s="227">
        <v>2</v>
      </c>
      <c r="F97" s="135" t="str">
        <f>IFERROR(VLOOKUP(C97,'01_RS ALCARRIA'!$D$6:$M$36,10,FALSE),"")</f>
        <v/>
      </c>
      <c r="G97" s="135" t="str">
        <f>IFERROR(VLOOKUP(C97,'01_RS ALCARRIA'!$D$6:$O$36,12,FALSE),"")</f>
        <v/>
      </c>
      <c r="H97" s="138" t="e">
        <f t="shared" ref="H97" si="85">(F97+G97)*2</f>
        <v>#VALUE!</v>
      </c>
      <c r="I97" s="135" t="str">
        <f>IFERROR(VLOOKUP(C97,'02_TCT GUADAMUR'!$D$6:$M$36,10,FALSE),"")</f>
        <v/>
      </c>
      <c r="J97" s="135" t="str">
        <f>IFERROR(VLOOKUP(C97,'02_TCT GUADAMUR'!$D$6:$O$36,12,FALSE),"")</f>
        <v/>
      </c>
      <c r="K97" s="138" t="e">
        <f t="shared" ref="K97" si="86">(I97+J97)</f>
        <v>#VALUE!</v>
      </c>
      <c r="L97" s="135">
        <v>0</v>
      </c>
      <c r="M97" s="135">
        <v>0</v>
      </c>
      <c r="N97" s="138">
        <f t="shared" ref="N97" si="87">(L97+M97)</f>
        <v>0</v>
      </c>
      <c r="O97" s="135" t="str">
        <f>IFERROR(VLOOKUP(C97,'04_RALLYE CAM'!$D$6:$M$36,10,FALSE),"")</f>
        <v/>
      </c>
      <c r="P97" s="135" t="str">
        <f>IFERROR(VLOOKUP(C97,'04_RALLYE CAM'!$D$6:$O$36,12,FALSE),"")</f>
        <v/>
      </c>
      <c r="Q97" s="138" t="e">
        <f t="shared" ref="Q97" si="88">(O97+P97)*3</f>
        <v>#VALUE!</v>
      </c>
      <c r="R97" s="135" t="str">
        <f>IFERROR(VLOOKUP(C97,'05_RS NAVALCARNERO'!$D$6:$M$28,10,FALSE),"")</f>
        <v/>
      </c>
      <c r="S97" s="135" t="str">
        <f>IFERROR(VLOOKUP(C97,'05_RS NAVALCARNERO'!$D$6:$O$28,12,FALSE),"")</f>
        <v/>
      </c>
      <c r="T97" s="138" t="e">
        <f t="shared" ref="T97" si="89">(R97+S97)*2</f>
        <v>#VALUE!</v>
      </c>
      <c r="U97" s="135" t="str">
        <f>IFERROR(VLOOKUP(C97,'06_TCT NUEVO BAZTÁN'!$D$6:$M$28,10,FALSE),"")</f>
        <v/>
      </c>
      <c r="V97" s="135" t="str">
        <f>IFERROR(VLOOKUP(C97,'06_TCT NUEVO BAZTÁN'!$D$6:$O$28,12,FALSE),"")</f>
        <v/>
      </c>
      <c r="W97" s="138" t="e">
        <f t="shared" ref="W97" si="90">(U97+V97)</f>
        <v>#VALUE!</v>
      </c>
      <c r="X97" s="139" t="e">
        <f t="shared" ref="X97" si="91">H97+K97+N97+Q97+T97+W97</f>
        <v>#VALUE!</v>
      </c>
      <c r="Y97" s="140"/>
      <c r="Z97" s="141"/>
    </row>
    <row r="98" spans="2:29" ht="12.75" customHeight="1" x14ac:dyDescent="0.3">
      <c r="B98" s="133"/>
      <c r="C98" s="142" t="s">
        <v>702</v>
      </c>
      <c r="D98" s="227">
        <v>3</v>
      </c>
      <c r="E98" s="227">
        <v>2</v>
      </c>
      <c r="F98" s="135" t="str">
        <f>IFERROR(VLOOKUP(C98,'01_RS ALCARRIA'!$D$6:$M$36,10,FALSE),"")</f>
        <v/>
      </c>
      <c r="G98" s="135" t="str">
        <f>IFERROR(VLOOKUP(C98,'01_RS ALCARRIA'!$D$6:$O$36,12,FALSE),"")</f>
        <v/>
      </c>
      <c r="H98" s="138" t="e">
        <f t="shared" ref="H98" si="92">(F98+G98)*2</f>
        <v>#VALUE!</v>
      </c>
      <c r="I98" s="135" t="str">
        <f>IFERROR(VLOOKUP(C98,'02_TCT GUADAMUR'!$D$6:$M$36,10,FALSE),"")</f>
        <v/>
      </c>
      <c r="J98" s="135" t="str">
        <f>IFERROR(VLOOKUP(C98,'02_TCT GUADAMUR'!$D$6:$O$36,12,FALSE),"")</f>
        <v/>
      </c>
      <c r="K98" s="138" t="e">
        <f t="shared" ref="K98" si="93">(I98+J98)</f>
        <v>#VALUE!</v>
      </c>
      <c r="L98" s="135">
        <v>0</v>
      </c>
      <c r="M98" s="135">
        <v>0</v>
      </c>
      <c r="N98" s="138">
        <f t="shared" ref="N98" si="94">(L98+M98)</f>
        <v>0</v>
      </c>
      <c r="O98" s="135" t="str">
        <f>IFERROR(VLOOKUP(C98,'04_RALLYE CAM'!$D$6:$M$36,10,FALSE),"")</f>
        <v/>
      </c>
      <c r="P98" s="135" t="str">
        <f>IFERROR(VLOOKUP(C98,'04_RALLYE CAM'!$D$6:$O$36,12,FALSE),"")</f>
        <v/>
      </c>
      <c r="Q98" s="138" t="e">
        <f t="shared" ref="Q98" si="95">(O98+P98)*3</f>
        <v>#VALUE!</v>
      </c>
      <c r="R98" s="135" t="str">
        <f>IFERROR(VLOOKUP(C98,'05_RS NAVALCARNERO'!$D$6:$M$28,10,FALSE),"")</f>
        <v/>
      </c>
      <c r="S98" s="135" t="str">
        <f>IFERROR(VLOOKUP(C98,'05_RS NAVALCARNERO'!$D$6:$O$28,12,FALSE),"")</f>
        <v/>
      </c>
      <c r="T98" s="138" t="e">
        <f t="shared" ref="T98" si="96">(R98+S98)*2</f>
        <v>#VALUE!</v>
      </c>
      <c r="U98" s="135" t="str">
        <f>IFERROR(VLOOKUP(C98,'06_TCT NUEVO BAZTÁN'!$D$6:$M$28,10,FALSE),"")</f>
        <v/>
      </c>
      <c r="V98" s="135" t="str">
        <f>IFERROR(VLOOKUP(C98,'06_TCT NUEVO BAZTÁN'!$D$6:$O$28,12,FALSE),"")</f>
        <v/>
      </c>
      <c r="W98" s="138" t="e">
        <f t="shared" ref="W98" si="97">(U98+V98)</f>
        <v>#VALUE!</v>
      </c>
      <c r="X98" s="139" t="e">
        <f t="shared" ref="X98" si="98">H98+K98+N98+Q98+T98+W98</f>
        <v>#VALUE!</v>
      </c>
      <c r="Y98" s="140"/>
      <c r="Z98" s="141"/>
    </row>
    <row r="99" spans="2:29" ht="12.75" customHeight="1" x14ac:dyDescent="0.3">
      <c r="B99" s="133"/>
      <c r="C99" s="142" t="s">
        <v>238</v>
      </c>
      <c r="D99" s="227">
        <v>4</v>
      </c>
      <c r="E99" s="227">
        <v>2</v>
      </c>
      <c r="F99" s="135" t="str">
        <f>IFERROR(VLOOKUP(C99,'01_RS ALCARRIA'!$D$6:$M$36,10,FALSE),"")</f>
        <v/>
      </c>
      <c r="G99" s="135" t="str">
        <f>IFERROR(VLOOKUP(C99,'01_RS ALCARRIA'!$D$6:$O$36,12,FALSE),"")</f>
        <v/>
      </c>
      <c r="H99" s="138" t="e">
        <f t="shared" ref="H99" si="99">(F99+G99)*2</f>
        <v>#VALUE!</v>
      </c>
      <c r="I99" s="135" t="str">
        <f>IFERROR(VLOOKUP(C99,'02_TCT GUADAMUR'!$D$6:$M$36,10,FALSE),"")</f>
        <v/>
      </c>
      <c r="J99" s="135" t="str">
        <f>IFERROR(VLOOKUP(C99,'02_TCT GUADAMUR'!$D$6:$O$36,12,FALSE),"")</f>
        <v/>
      </c>
      <c r="K99" s="138" t="e">
        <f t="shared" ref="K99" si="100">(I99+J99)</f>
        <v>#VALUE!</v>
      </c>
      <c r="L99" s="135">
        <v>0</v>
      </c>
      <c r="M99" s="135">
        <v>0</v>
      </c>
      <c r="N99" s="138">
        <f t="shared" ref="N99" si="101">(L99+M99)</f>
        <v>0</v>
      </c>
      <c r="O99" s="135">
        <f>IFERROR(VLOOKUP(C99,'04_RALLYE CAM'!$D$6:$M$36,10,FALSE),"")</f>
        <v>17</v>
      </c>
      <c r="P99" s="135">
        <f>IFERROR(VLOOKUP(C99,'04_RALLYE CAM'!$D$6:$O$36,12,FALSE),"")</f>
        <v>6</v>
      </c>
      <c r="Q99" s="138">
        <f t="shared" ref="Q99" si="102">(O99+P99)*3</f>
        <v>69</v>
      </c>
      <c r="R99" s="135" t="str">
        <f>IFERROR(VLOOKUP(C99,'05_RS NAVALCARNERO'!$D$6:$M$28,10,FALSE),"")</f>
        <v/>
      </c>
      <c r="S99" s="135" t="str">
        <f>IFERROR(VLOOKUP(C99,'05_RS NAVALCARNERO'!$D$6:$O$28,12,FALSE),"")</f>
        <v/>
      </c>
      <c r="T99" s="138" t="e">
        <f t="shared" ref="T99" si="103">(R99+S99)*2</f>
        <v>#VALUE!</v>
      </c>
      <c r="U99" s="135" t="str">
        <f>IFERROR(VLOOKUP(C99,'06_TCT NUEVO BAZTÁN'!$D$6:$M$28,10,FALSE),"")</f>
        <v/>
      </c>
      <c r="V99" s="135" t="str">
        <f>IFERROR(VLOOKUP(C99,'06_TCT NUEVO BAZTÁN'!$D$6:$O$28,12,FALSE),"")</f>
        <v/>
      </c>
      <c r="W99" s="138" t="e">
        <f t="shared" ref="W99" si="104">(U99+V99)</f>
        <v>#VALUE!</v>
      </c>
      <c r="X99" s="139" t="e">
        <f t="shared" ref="X99" si="105">H99+K99+N99+Q99+T99+W99</f>
        <v>#VALUE!</v>
      </c>
      <c r="Y99" s="140"/>
      <c r="Z99" s="141"/>
    </row>
    <row r="100" spans="2:29" ht="12.75" customHeight="1" x14ac:dyDescent="0.3">
      <c r="B100" s="133"/>
      <c r="C100" s="142"/>
      <c r="D100" s="227"/>
      <c r="E100" s="227"/>
      <c r="F100" s="135" t="str">
        <f>IFERROR(VLOOKUP(C100,'01_RS ALCARRIA'!$D$6:$M$36,10,FALSE),"")</f>
        <v/>
      </c>
      <c r="G100" s="135" t="str">
        <f>IFERROR(VLOOKUP(C100,'01_RS ALCARRIA'!$D$6:$O$36,12,FALSE),"")</f>
        <v/>
      </c>
      <c r="H100" s="138" t="e">
        <f t="shared" si="69"/>
        <v>#VALUE!</v>
      </c>
      <c r="I100" s="135" t="str">
        <f>IFERROR(VLOOKUP(C100,'02_TCT GUADAMUR'!$D$6:$M$36,10,FALSE),"")</f>
        <v/>
      </c>
      <c r="J100" s="135" t="str">
        <f>IFERROR(VLOOKUP(C100,'02_TCT GUADAMUR'!$D$6:$O$36,12,FALSE),"")</f>
        <v/>
      </c>
      <c r="K100" s="138" t="e">
        <f t="shared" si="70"/>
        <v>#VALUE!</v>
      </c>
      <c r="L100" s="135" t="str">
        <f>IFERROR(VLOOKUP(C100,'03_TCT MAQUEDA'!$D$6:$M$36,10,FALSE),"")</f>
        <v/>
      </c>
      <c r="M100" s="135" t="str">
        <f>IFERROR(VLOOKUP(C100,'03_TCT MAQUEDA'!$D$6:$O$36,12,FALSE),"")</f>
        <v/>
      </c>
      <c r="N100" s="138" t="e">
        <f t="shared" si="71"/>
        <v>#VALUE!</v>
      </c>
      <c r="O100" s="135" t="str">
        <f>IFERROR(VLOOKUP(C100,'04_RALLYE CAM'!$D$6:$M$36,10,FALSE),"")</f>
        <v/>
      </c>
      <c r="P100" s="135" t="str">
        <f>IFERROR(VLOOKUP(C100,'04_RALLYE CAM'!$D$6:$O$36,12,FALSE),"")</f>
        <v/>
      </c>
      <c r="Q100" s="138" t="e">
        <f t="shared" si="72"/>
        <v>#VALUE!</v>
      </c>
      <c r="R100" s="135" t="str">
        <f>IFERROR(VLOOKUP(C100,'05_RS NAVALCARNERO'!$D$6:$M$28,10,FALSE),"")</f>
        <v/>
      </c>
      <c r="S100" s="135" t="str">
        <f>IFERROR(VLOOKUP(C100,'05_RS NAVALCARNERO'!$D$6:$O$28,12,FALSE),"")</f>
        <v/>
      </c>
      <c r="T100" s="138" t="e">
        <f t="shared" si="73"/>
        <v>#VALUE!</v>
      </c>
      <c r="U100" s="135" t="str">
        <f>IFERROR(VLOOKUP(C100,'06_TCT NUEVO BAZTÁN'!$D$6:$M$28,10,FALSE),"")</f>
        <v/>
      </c>
      <c r="V100" s="135" t="str">
        <f>IFERROR(VLOOKUP(C100,'06_TCT NUEVO BAZTÁN'!$D$6:$O$28,12,FALSE),"")</f>
        <v/>
      </c>
      <c r="W100" s="138" t="e">
        <f t="shared" si="68"/>
        <v>#VALUE!</v>
      </c>
      <c r="X100" s="139" t="e">
        <f t="shared" si="74"/>
        <v>#VALUE!</v>
      </c>
      <c r="Y100" s="140" t="str">
        <f t="shared" si="75"/>
        <v>Sí</v>
      </c>
      <c r="Z100" s="141">
        <f t="shared" si="76"/>
        <v>6</v>
      </c>
      <c r="AB100" s="261" t="str">
        <f>IFERROR(VLOOKUP(C100,Tabla15[[Piloto]:[Puntos clase]],6, FALSE), " ")</f>
        <v xml:space="preserve"> </v>
      </c>
    </row>
    <row r="101" spans="2:29" ht="12.75" customHeight="1" x14ac:dyDescent="0.3">
      <c r="B101" s="144"/>
      <c r="C101" s="145"/>
      <c r="D101" s="146"/>
      <c r="E101" s="146"/>
      <c r="F101" s="146"/>
      <c r="G101" s="146"/>
      <c r="H101" s="146"/>
      <c r="I101" s="146"/>
      <c r="J101" s="146"/>
      <c r="K101" s="146"/>
      <c r="L101" s="146"/>
      <c r="M101" s="146"/>
      <c r="N101" s="146"/>
      <c r="O101" s="146"/>
      <c r="P101" s="146"/>
      <c r="Q101" s="146"/>
      <c r="R101" s="146"/>
      <c r="S101" s="146"/>
      <c r="T101" s="146"/>
      <c r="U101" s="146"/>
      <c r="V101" s="146"/>
      <c r="W101" s="146"/>
      <c r="X101" s="146"/>
      <c r="Y101" s="143"/>
      <c r="Z101" s="147"/>
      <c r="AA101" s="148"/>
      <c r="AB101" s="262"/>
    </row>
    <row r="102" spans="2:29" ht="12" x14ac:dyDescent="0.3">
      <c r="B102" s="144"/>
      <c r="C102" s="235" t="s">
        <v>5</v>
      </c>
      <c r="D102" s="228" t="s">
        <v>6</v>
      </c>
      <c r="E102" s="146"/>
      <c r="F102" s="146"/>
      <c r="G102" s="146"/>
      <c r="H102" s="146"/>
      <c r="I102" s="146"/>
      <c r="J102" s="146"/>
      <c r="K102" s="146"/>
      <c r="L102" s="146"/>
      <c r="M102" s="146"/>
      <c r="N102" s="146"/>
      <c r="O102" s="146"/>
      <c r="P102" s="146"/>
      <c r="Q102" s="146"/>
      <c r="R102" s="146"/>
      <c r="S102" s="146"/>
      <c r="T102" s="146"/>
      <c r="U102" s="146"/>
      <c r="V102" s="146"/>
      <c r="W102" s="146"/>
      <c r="X102" s="146"/>
      <c r="Y102" s="149"/>
      <c r="Z102" s="147"/>
      <c r="AA102" s="148"/>
      <c r="AB102" s="262"/>
    </row>
    <row r="103" spans="2:29" ht="3.75" customHeight="1" thickBot="1" x14ac:dyDescent="0.35">
      <c r="B103" s="1"/>
      <c r="C103" s="235"/>
      <c r="D103" s="146"/>
      <c r="E103" s="120"/>
      <c r="F103" s="2"/>
      <c r="G103" s="2"/>
      <c r="H103" s="3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5"/>
      <c r="AC103" s="2"/>
    </row>
    <row r="104" spans="2:29" ht="12.75" customHeight="1" thickBot="1" x14ac:dyDescent="0.35">
      <c r="B104" s="1"/>
      <c r="C104" s="235" t="s">
        <v>7</v>
      </c>
      <c r="D104" s="233">
        <v>2</v>
      </c>
      <c r="E104" s="120"/>
      <c r="F104" s="147"/>
      <c r="G104" s="147"/>
      <c r="H104" s="147"/>
      <c r="I104" s="147"/>
      <c r="J104" s="147"/>
      <c r="K104" s="147"/>
      <c r="L104" s="147"/>
      <c r="M104" s="147"/>
      <c r="N104" s="147"/>
      <c r="O104" s="147"/>
      <c r="P104" s="147"/>
      <c r="Q104" s="147"/>
      <c r="R104" s="147"/>
      <c r="S104" s="147"/>
      <c r="T104" s="147"/>
      <c r="U104" s="147"/>
      <c r="V104" s="147"/>
      <c r="W104" s="147"/>
      <c r="X104" s="147"/>
      <c r="Y104" s="147"/>
      <c r="Z104" s="147"/>
      <c r="AA104" s="148"/>
      <c r="AB104" s="262"/>
    </row>
    <row r="105" spans="2:29" ht="3.75" customHeight="1" x14ac:dyDescent="0.3">
      <c r="B105" s="1"/>
      <c r="C105" s="235"/>
      <c r="D105" s="146"/>
      <c r="E105" s="120"/>
      <c r="F105" s="2"/>
      <c r="G105" s="2"/>
      <c r="H105" s="3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5"/>
      <c r="AC105" s="2"/>
    </row>
    <row r="106" spans="2:29" ht="12.75" customHeight="1" x14ac:dyDescent="0.3">
      <c r="B106" s="1"/>
      <c r="C106" s="235"/>
      <c r="D106" s="284"/>
      <c r="E106" s="285" t="s">
        <v>534</v>
      </c>
      <c r="F106" s="147"/>
      <c r="G106" s="147"/>
      <c r="H106" s="147"/>
      <c r="I106" s="147"/>
      <c r="J106" s="147"/>
      <c r="K106" s="147"/>
      <c r="L106" s="147"/>
      <c r="M106" s="147"/>
      <c r="N106" s="147"/>
      <c r="O106" s="147"/>
      <c r="P106" s="147"/>
      <c r="Q106" s="147"/>
      <c r="R106" s="147"/>
      <c r="S106" s="147"/>
      <c r="T106" s="147"/>
      <c r="U106" s="147"/>
      <c r="V106" s="147"/>
      <c r="W106" s="147"/>
      <c r="X106" s="147"/>
      <c r="Y106" s="147"/>
      <c r="Z106" s="147"/>
      <c r="AA106" s="148"/>
      <c r="AB106" s="262"/>
    </row>
    <row r="107" spans="2:29" ht="3.75" customHeight="1" x14ac:dyDescent="0.3">
      <c r="B107" s="1"/>
      <c r="C107" s="235"/>
      <c r="D107" s="239"/>
      <c r="E107" s="120"/>
      <c r="F107" s="147"/>
      <c r="G107" s="147"/>
      <c r="H107" s="147"/>
      <c r="I107" s="147"/>
      <c r="J107" s="147"/>
      <c r="K107" s="147"/>
      <c r="L107" s="147"/>
      <c r="M107" s="147"/>
      <c r="N107" s="147"/>
      <c r="O107" s="147"/>
      <c r="P107" s="147"/>
      <c r="Q107" s="147"/>
      <c r="R107" s="147"/>
      <c r="S107" s="147"/>
      <c r="T107" s="147"/>
      <c r="U107" s="147"/>
      <c r="V107" s="147"/>
      <c r="W107" s="147"/>
      <c r="X107" s="147"/>
      <c r="Y107" s="147"/>
      <c r="Z107" s="147"/>
      <c r="AA107" s="148"/>
      <c r="AB107" s="262"/>
    </row>
    <row r="108" spans="2:29" ht="13.5" customHeight="1" x14ac:dyDescent="0.3">
      <c r="B108" s="1"/>
      <c r="C108" s="236" t="s">
        <v>510</v>
      </c>
      <c r="D108" s="237" t="s">
        <v>273</v>
      </c>
      <c r="E108" s="238"/>
      <c r="F108" s="147"/>
      <c r="G108" s="147"/>
      <c r="H108" s="147"/>
      <c r="I108" s="147"/>
      <c r="J108" s="147"/>
      <c r="K108" s="147"/>
      <c r="L108" s="147"/>
      <c r="M108" s="147"/>
      <c r="N108" s="147"/>
      <c r="O108" s="147"/>
      <c r="P108" s="147"/>
      <c r="Q108" s="147"/>
      <c r="R108" s="147"/>
      <c r="S108" s="147"/>
      <c r="T108" s="147"/>
      <c r="U108" s="147"/>
      <c r="V108" s="147"/>
      <c r="W108" s="147"/>
      <c r="X108" s="147"/>
      <c r="Y108" s="147"/>
      <c r="Z108" s="147"/>
      <c r="AA108" s="148"/>
      <c r="AB108" s="262"/>
    </row>
    <row r="109" spans="2:29" ht="13.5" customHeight="1" x14ac:dyDescent="0.3">
      <c r="B109" s="1"/>
      <c r="C109" s="236"/>
      <c r="D109" s="155"/>
      <c r="E109" s="155"/>
      <c r="F109" s="147"/>
      <c r="G109" s="147"/>
      <c r="H109" s="147"/>
      <c r="I109" s="147"/>
      <c r="J109" s="147"/>
      <c r="K109" s="147"/>
      <c r="L109" s="147"/>
      <c r="M109" s="147"/>
      <c r="N109" s="147"/>
      <c r="O109" s="147"/>
      <c r="P109" s="147"/>
      <c r="Q109" s="147"/>
      <c r="R109" s="147"/>
      <c r="S109" s="147"/>
      <c r="T109" s="147"/>
      <c r="U109" s="147"/>
      <c r="V109" s="147"/>
      <c r="W109" s="147"/>
      <c r="X109" s="147"/>
      <c r="Y109" s="147"/>
      <c r="Z109" s="147"/>
      <c r="AA109" s="148"/>
      <c r="AB109" s="262"/>
    </row>
    <row r="110" spans="2:29" ht="39" customHeight="1" x14ac:dyDescent="0.55000000000000004">
      <c r="B110" s="164" t="s">
        <v>516</v>
      </c>
      <c r="C110" s="165"/>
      <c r="D110" s="165"/>
      <c r="E110" s="165"/>
      <c r="F110" s="165"/>
      <c r="G110" s="165"/>
      <c r="H110" s="165"/>
      <c r="I110" s="165"/>
      <c r="J110" s="165"/>
      <c r="K110" s="165"/>
      <c r="L110" s="165"/>
      <c r="M110" s="165"/>
      <c r="N110" s="165"/>
      <c r="O110" s="165"/>
      <c r="P110" s="165"/>
      <c r="Q110" s="165"/>
      <c r="R110" s="165"/>
      <c r="S110" s="165"/>
      <c r="T110" s="165"/>
      <c r="U110" s="165"/>
      <c r="V110" s="165"/>
      <c r="W110" s="165"/>
      <c r="X110" s="165"/>
    </row>
    <row r="111" spans="2:29" ht="37.5" customHeight="1" x14ac:dyDescent="0.3">
      <c r="B111" s="166" t="s">
        <v>338</v>
      </c>
      <c r="C111" s="167"/>
      <c r="D111" s="167"/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67"/>
      <c r="P111" s="167"/>
      <c r="Q111" s="167"/>
      <c r="R111" s="167"/>
      <c r="S111" s="167"/>
      <c r="T111" s="167"/>
      <c r="U111" s="167"/>
      <c r="V111" s="167"/>
      <c r="W111" s="167"/>
      <c r="X111" s="167"/>
      <c r="Y111" s="30"/>
      <c r="Z111" s="30"/>
    </row>
    <row r="112" spans="2:29" ht="12.75" customHeight="1" x14ac:dyDescent="0.3">
      <c r="B112" s="162"/>
      <c r="C112" s="168"/>
      <c r="D112" s="161"/>
      <c r="E112" s="161"/>
      <c r="F112" s="222" t="s">
        <v>220</v>
      </c>
      <c r="G112" s="223"/>
      <c r="H112" s="224"/>
      <c r="I112" s="222" t="s">
        <v>663</v>
      </c>
      <c r="J112" s="225"/>
      <c r="K112" s="226"/>
      <c r="L112" s="222" t="s">
        <v>532</v>
      </c>
      <c r="M112" s="225"/>
      <c r="N112" s="226"/>
      <c r="O112" s="222" t="s">
        <v>526</v>
      </c>
      <c r="P112" s="225"/>
      <c r="Q112" s="226"/>
      <c r="R112" s="222" t="s">
        <v>287</v>
      </c>
      <c r="S112" s="225"/>
      <c r="T112" s="226"/>
      <c r="U112" s="413" t="s">
        <v>527</v>
      </c>
      <c r="V112" s="226"/>
      <c r="W112" s="226"/>
      <c r="X112" s="161" t="s">
        <v>213</v>
      </c>
      <c r="Y112" s="30"/>
      <c r="Z112" s="30"/>
    </row>
    <row r="113" spans="2:35" ht="12.75" customHeight="1" x14ac:dyDescent="0.3">
      <c r="B113" s="159" t="s">
        <v>0</v>
      </c>
      <c r="C113" s="170" t="s">
        <v>166</v>
      </c>
      <c r="D113" s="160" t="s">
        <v>2</v>
      </c>
      <c r="E113" s="160" t="s">
        <v>3</v>
      </c>
      <c r="F113" s="217" t="s">
        <v>523</v>
      </c>
      <c r="G113" s="218"/>
      <c r="H113" s="219"/>
      <c r="I113" s="217" t="s">
        <v>525</v>
      </c>
      <c r="J113" s="220"/>
      <c r="K113" s="221"/>
      <c r="L113" s="217" t="s">
        <v>664</v>
      </c>
      <c r="M113" s="220"/>
      <c r="N113" s="221"/>
      <c r="O113" s="217" t="s">
        <v>529</v>
      </c>
      <c r="P113" s="220"/>
      <c r="Q113" s="221"/>
      <c r="R113" s="217" t="s">
        <v>530</v>
      </c>
      <c r="S113" s="220"/>
      <c r="T113" s="221"/>
      <c r="U113" s="414" t="s">
        <v>528</v>
      </c>
      <c r="V113" s="255"/>
      <c r="W113" s="415"/>
      <c r="X113" s="160" t="s">
        <v>9</v>
      </c>
      <c r="Y113" s="519" t="s">
        <v>223</v>
      </c>
      <c r="Z113" s="521" t="s">
        <v>4</v>
      </c>
    </row>
    <row r="114" spans="2:35" ht="12.75" customHeight="1" thickBot="1" x14ac:dyDescent="0.35">
      <c r="B114" s="163"/>
      <c r="C114" s="169"/>
      <c r="D114" s="157"/>
      <c r="E114" s="476"/>
      <c r="F114" s="131" t="s">
        <v>33</v>
      </c>
      <c r="G114" s="131" t="s">
        <v>34</v>
      </c>
      <c r="H114" s="132" t="s">
        <v>35</v>
      </c>
      <c r="I114" s="131" t="s">
        <v>33</v>
      </c>
      <c r="J114" s="131" t="s">
        <v>34</v>
      </c>
      <c r="K114" s="132" t="s">
        <v>35</v>
      </c>
      <c r="L114" s="131" t="s">
        <v>33</v>
      </c>
      <c r="M114" s="131" t="s">
        <v>34</v>
      </c>
      <c r="N114" s="132" t="s">
        <v>35</v>
      </c>
      <c r="O114" s="131" t="s">
        <v>33</v>
      </c>
      <c r="P114" s="131" t="s">
        <v>34</v>
      </c>
      <c r="Q114" s="132" t="s">
        <v>35</v>
      </c>
      <c r="R114" s="131" t="s">
        <v>33</v>
      </c>
      <c r="S114" s="131" t="s">
        <v>34</v>
      </c>
      <c r="T114" s="132" t="s">
        <v>35</v>
      </c>
      <c r="U114" s="131" t="s">
        <v>33</v>
      </c>
      <c r="V114" s="131" t="s">
        <v>34</v>
      </c>
      <c r="W114" s="132" t="s">
        <v>35</v>
      </c>
      <c r="X114" s="157"/>
      <c r="Y114" s="520"/>
      <c r="Z114" s="522"/>
    </row>
    <row r="115" spans="2:35" ht="12.75" customHeight="1" thickBot="1" x14ac:dyDescent="0.35">
      <c r="B115" s="133">
        <v>1</v>
      </c>
      <c r="C115" s="142" t="s">
        <v>575</v>
      </c>
      <c r="D115" s="481">
        <v>2</v>
      </c>
      <c r="E115" s="477" t="str">
        <f t="shared" ref="E115:E132" si="106">LEFT(AB115,LEN(AB115)-2)</f>
        <v>2</v>
      </c>
      <c r="F115" s="475">
        <f>IFERROR(VLOOKUP(C115,'01_RS ALCARRIA'!$F$6:$R$36,13,FALSE),"")</f>
        <v>25</v>
      </c>
      <c r="G115" s="135">
        <f>IFERROR(VLOOKUP(C115,'01_RS ALCARRIA'!$F$6:$T$36,15,FALSE),"")</f>
        <v>10</v>
      </c>
      <c r="H115" s="138">
        <f>(F115+G115)*2</f>
        <v>70</v>
      </c>
      <c r="I115" s="135">
        <f>IFERROR(VLOOKUP(C115,'02_TCT GUADAMUR'!$F$6:$R$36,13,FALSE),"")</f>
        <v>17</v>
      </c>
      <c r="J115" s="135">
        <f>IFERROR(VLOOKUP(C115,'02_TCT GUADAMUR'!$F$6:$T$36,15,FALSE),"")</f>
        <v>6</v>
      </c>
      <c r="K115" s="138">
        <f>(I115+J115)</f>
        <v>23</v>
      </c>
      <c r="L115" s="135">
        <f>IFERROR(VLOOKUP(C115,'03_TCT MAQUEDA'!$F$6:$R$36,13,FALSE),"")</f>
        <v>17</v>
      </c>
      <c r="M115" s="135">
        <f>IFERROR(VLOOKUP(C115,'03_TCT MAQUEDA'!$F$6:$T$36,15,FALSE),"")</f>
        <v>10</v>
      </c>
      <c r="N115" s="138">
        <f>(L115+M115)</f>
        <v>27</v>
      </c>
      <c r="O115" s="135" t="str">
        <f>IFERROR(VLOOKUP(C115,'04_RALLYE CAM'!$F$6:$R$36,13,FALSE),"")</f>
        <v/>
      </c>
      <c r="P115" s="135" t="str">
        <f>IFERROR(VLOOKUP(C115,'04_RALLYE CAM'!$F$6:$T$36,15,FALSE),"")</f>
        <v/>
      </c>
      <c r="Q115" s="138" t="e">
        <f>(O115+P115)*3</f>
        <v>#VALUE!</v>
      </c>
      <c r="R115" s="135" t="str">
        <f>IFERROR(VLOOKUP(C115,'05_RS NAVALCARNERO'!$F$6:$R$28,13,FALSE),"")</f>
        <v/>
      </c>
      <c r="S115" s="135" t="str">
        <f>IFERROR(VLOOKUP(C115,'05_RS NAVALCARNERO'!$F$6:$T$28,15,FALSE),"")</f>
        <v/>
      </c>
      <c r="T115" s="138" t="e">
        <f>(R115+S115)*2</f>
        <v>#VALUE!</v>
      </c>
      <c r="U115" s="135" t="str">
        <f>IFERROR(VLOOKUP(C115,'06_TCT NUEVO BAZTÁN'!$F$6:$R$28,13,FALSE),"")</f>
        <v/>
      </c>
      <c r="V115" s="135" t="str">
        <f>IFERROR(VLOOKUP(C115,'06_TCT NUEVO BAZTÁN'!$F$6:$T$28,15,FALSE),"")</f>
        <v/>
      </c>
      <c r="W115" s="138" t="e">
        <f>(U115+V115)</f>
        <v>#VALUE!</v>
      </c>
      <c r="X115" s="139" t="e">
        <f>H115+K115+N115+Q115+T115+W115</f>
        <v>#VALUE!</v>
      </c>
      <c r="Y115" s="140" t="str">
        <f>IF(Z115&gt;=3,"Sí","No")</f>
        <v>Sí</v>
      </c>
      <c r="Z115" s="141">
        <f>COUNTA(H115,K115,N115,Q115,T115,W115)</f>
        <v>6</v>
      </c>
      <c r="AA115" s="148"/>
      <c r="AB115" s="262" t="str">
        <f>IFERROR(VLOOKUP(C115,Tabla15[[Piloto2]:[Puntos clase5]],4, FALSE), " ")</f>
        <v>2RM</v>
      </c>
    </row>
    <row r="116" spans="2:35" ht="12.75" customHeight="1" x14ac:dyDescent="0.3">
      <c r="B116" s="133">
        <v>2</v>
      </c>
      <c r="C116" s="142" t="s">
        <v>577</v>
      </c>
      <c r="D116" s="481">
        <v>2</v>
      </c>
      <c r="E116" s="483" t="str">
        <f t="shared" si="106"/>
        <v>2</v>
      </c>
      <c r="F116" s="475">
        <f>IFERROR(VLOOKUP(C116,'01_RS ALCARRIA'!$F$6:$R$36,13,FALSE),"")</f>
        <v>20</v>
      </c>
      <c r="G116" s="135">
        <f>IFERROR(VLOOKUP(C116,'01_RS ALCARRIA'!$F$6:$T$36,15,FALSE),"")</f>
        <v>8</v>
      </c>
      <c r="H116" s="138">
        <f t="shared" ref="H116:H152" si="107">(F116+G116)*2</f>
        <v>56</v>
      </c>
      <c r="I116" s="135">
        <f>IFERROR(VLOOKUP(C116,'02_TCT GUADAMUR'!$F$6:$R$36,13,FALSE),"")</f>
        <v>25</v>
      </c>
      <c r="J116" s="135">
        <f>IFERROR(VLOOKUP(C116,'02_TCT GUADAMUR'!$F$6:$T$36,15,FALSE),"")</f>
        <v>10</v>
      </c>
      <c r="K116" s="138">
        <f t="shared" ref="K116:K152" si="108">(I116+J116)</f>
        <v>35</v>
      </c>
      <c r="L116" s="135">
        <f>IFERROR(VLOOKUP(C116,'03_TCT MAQUEDA'!$F$6:$R$36,13,FALSE),"")</f>
        <v>15</v>
      </c>
      <c r="M116" s="135">
        <f>IFERROR(VLOOKUP(C116,'03_TCT MAQUEDA'!$F$6:$T$36,15,FALSE),"")</f>
        <v>8</v>
      </c>
      <c r="N116" s="138">
        <f t="shared" ref="N116:N152" si="109">(L116+M116)</f>
        <v>23</v>
      </c>
      <c r="O116" s="135" t="str">
        <f>IFERROR(VLOOKUP(C116,'04_RALLYE CAM'!$F$6:$R$36,13,FALSE),"")</f>
        <v/>
      </c>
      <c r="P116" s="135" t="str">
        <f>IFERROR(VLOOKUP(C116,'04_RALLYE CAM'!$F$6:$T$36,15,FALSE),"")</f>
        <v/>
      </c>
      <c r="Q116" s="138" t="e">
        <f t="shared" ref="Q116:Q152" si="110">(O116+P116)*3</f>
        <v>#VALUE!</v>
      </c>
      <c r="R116" s="135" t="str">
        <f>IFERROR(VLOOKUP(C116,'05_RS NAVALCARNERO'!$F$6:$R$28,13,FALSE),"")</f>
        <v/>
      </c>
      <c r="S116" s="135" t="str">
        <f>IFERROR(VLOOKUP(C116,'05_RS NAVALCARNERO'!$F$6:$T$28,15,FALSE),"")</f>
        <v/>
      </c>
      <c r="T116" s="138" t="e">
        <f t="shared" ref="T116:T152" si="111">(R116+S116)*2</f>
        <v>#VALUE!</v>
      </c>
      <c r="U116" s="135" t="str">
        <f>IFERROR(VLOOKUP(C116,'06_TCT NUEVO BAZTÁN'!$F$6:$R$28,13,FALSE),"")</f>
        <v/>
      </c>
      <c r="V116" s="135" t="str">
        <f>IFERROR(VLOOKUP(C116,'06_TCT NUEVO BAZTÁN'!$F$6:$T$28,15,FALSE),"")</f>
        <v/>
      </c>
      <c r="W116" s="138" t="e">
        <f t="shared" ref="W116:W152" si="112">(U116+V116)</f>
        <v>#VALUE!</v>
      </c>
      <c r="X116" s="139" t="e">
        <f t="shared" ref="X116:X152" si="113">H116+K116+N116+Q116+T116+W116</f>
        <v>#VALUE!</v>
      </c>
      <c r="Y116" s="140" t="str">
        <f t="shared" ref="Y116:Y152" si="114">IF(Z116&gt;=3,"Sí","No")</f>
        <v>Sí</v>
      </c>
      <c r="Z116" s="141">
        <f t="shared" ref="Z116:Z152" si="115">COUNTA(H116,K116,N116,Q116,T116,W116)</f>
        <v>6</v>
      </c>
      <c r="AA116" s="148"/>
      <c r="AB116" s="262" t="str">
        <f>IFERROR(VLOOKUP(C116,Tabla15[[Piloto2]:[Puntos clase5]],4, FALSE), " ")</f>
        <v>2RM</v>
      </c>
    </row>
    <row r="117" spans="2:35" ht="12.75" customHeight="1" x14ac:dyDescent="0.3">
      <c r="B117" s="133">
        <v>3</v>
      </c>
      <c r="C117" s="134" t="s">
        <v>589</v>
      </c>
      <c r="D117" s="480">
        <v>1</v>
      </c>
      <c r="E117" s="483" t="str">
        <f t="shared" si="106"/>
        <v>4</v>
      </c>
      <c r="F117" s="135">
        <f>IFERROR(VLOOKUP(C117,'01_RS ALCARRIA'!$F$6:$R$36,13,FALSE),"")</f>
        <v>17</v>
      </c>
      <c r="G117" s="284">
        <f>IFERROR(VLOOKUP(C117,'01_RS ALCARRIA'!$F$6:$T$36,15,FALSE),"")/2</f>
        <v>5</v>
      </c>
      <c r="H117" s="138">
        <f t="shared" si="107"/>
        <v>44</v>
      </c>
      <c r="I117" s="135">
        <f>IFERROR(VLOOKUP(C117,'02_TCT GUADAMUR'!$F$6:$R$36,13,FALSE),"")</f>
        <v>15</v>
      </c>
      <c r="J117" s="135">
        <f>IFERROR(VLOOKUP(C117,'02_TCT GUADAMUR'!$F$6:$T$36,15,FALSE),"")</f>
        <v>10</v>
      </c>
      <c r="K117" s="138">
        <f t="shared" si="108"/>
        <v>25</v>
      </c>
      <c r="L117" s="135">
        <v>0</v>
      </c>
      <c r="M117" s="135">
        <v>0</v>
      </c>
      <c r="N117" s="138">
        <f t="shared" si="109"/>
        <v>0</v>
      </c>
      <c r="O117" s="135" t="str">
        <f>IFERROR(VLOOKUP(C117,'04_RALLYE CAM'!$F$6:$R$36,13,FALSE),"")</f>
        <v/>
      </c>
      <c r="P117" s="135" t="str">
        <f>IFERROR(VLOOKUP(C117,'04_RALLYE CAM'!$F$6:$T$36,15,FALSE),"")</f>
        <v/>
      </c>
      <c r="Q117" s="138" t="e">
        <f t="shared" si="110"/>
        <v>#VALUE!</v>
      </c>
      <c r="R117" s="135" t="str">
        <f>IFERROR(VLOOKUP(C117,'05_RS NAVALCARNERO'!$F$6:$R$28,13,FALSE),"")</f>
        <v/>
      </c>
      <c r="S117" s="135" t="str">
        <f>IFERROR(VLOOKUP(C117,'05_RS NAVALCARNERO'!$F$6:$T$28,15,FALSE),"")</f>
        <v/>
      </c>
      <c r="T117" s="138" t="e">
        <f t="shared" si="111"/>
        <v>#VALUE!</v>
      </c>
      <c r="U117" s="135" t="str">
        <f>IFERROR(VLOOKUP(C117,'06_TCT NUEVO BAZTÁN'!$F$6:$R$28,13,FALSE),"")</f>
        <v/>
      </c>
      <c r="V117" s="135" t="str">
        <f>IFERROR(VLOOKUP(C117,'06_TCT NUEVO BAZTÁN'!$F$6:$T$28,15,FALSE),"")</f>
        <v/>
      </c>
      <c r="W117" s="138" t="e">
        <f t="shared" si="112"/>
        <v>#VALUE!</v>
      </c>
      <c r="X117" s="139" t="e">
        <f t="shared" si="113"/>
        <v>#VALUE!</v>
      </c>
      <c r="Y117" s="140" t="str">
        <f t="shared" si="114"/>
        <v>Sí</v>
      </c>
      <c r="Z117" s="141">
        <f t="shared" si="115"/>
        <v>6</v>
      </c>
      <c r="AA117" s="148"/>
      <c r="AB117" s="262" t="str">
        <f>IFERROR(VLOOKUP(C117,Tabla15[[Piloto2]:[Puntos clase5]],4, FALSE), " ")</f>
        <v>4RM</v>
      </c>
    </row>
    <row r="118" spans="2:35" ht="12.75" customHeight="1" x14ac:dyDescent="0.3">
      <c r="B118" s="133">
        <v>4</v>
      </c>
      <c r="C118" s="142" t="s">
        <v>590</v>
      </c>
      <c r="D118" s="482">
        <v>3</v>
      </c>
      <c r="E118" s="482" t="str">
        <f t="shared" si="106"/>
        <v>2</v>
      </c>
      <c r="F118" s="135">
        <f>IFERROR(VLOOKUP(C118,'01_RS ALCARRIA'!$F$6:$R$36,13,FALSE),"")</f>
        <v>15</v>
      </c>
      <c r="G118" s="135">
        <f>IFERROR(VLOOKUP(C118,'01_RS ALCARRIA'!$F$6:$T$36,15,FALSE),"")</f>
        <v>10</v>
      </c>
      <c r="H118" s="138">
        <f t="shared" si="107"/>
        <v>50</v>
      </c>
      <c r="I118" s="135">
        <f>IFERROR(VLOOKUP(C118,'02_TCT GUADAMUR'!$F$6:$R$36,13,FALSE),"")</f>
        <v>12</v>
      </c>
      <c r="J118" s="135">
        <f>IFERROR(VLOOKUP(C118,'02_TCT GUADAMUR'!$F$6:$T$36,15,FALSE),"")</f>
        <v>10</v>
      </c>
      <c r="K118" s="138">
        <f t="shared" si="108"/>
        <v>22</v>
      </c>
      <c r="L118" s="135">
        <f>IFERROR(VLOOKUP(C118,'03_TCT MAQUEDA'!$F$6:$R$36,13,FALSE),"")</f>
        <v>8</v>
      </c>
      <c r="M118" s="135">
        <f>IFERROR(VLOOKUP(C118,'03_TCT MAQUEDA'!$F$6:$T$36,15,FALSE),"")</f>
        <v>10</v>
      </c>
      <c r="N118" s="138">
        <f t="shared" si="109"/>
        <v>18</v>
      </c>
      <c r="O118" s="135" t="str">
        <f>IFERROR(VLOOKUP(C118,'04_RALLYE CAM'!$F$6:$R$36,13,FALSE),"")</f>
        <v/>
      </c>
      <c r="P118" s="135" t="str">
        <f>IFERROR(VLOOKUP(C118,'04_RALLYE CAM'!$F$6:$T$36,15,FALSE),"")</f>
        <v/>
      </c>
      <c r="Q118" s="138" t="e">
        <f t="shared" si="110"/>
        <v>#VALUE!</v>
      </c>
      <c r="R118" s="135" t="str">
        <f>IFERROR(VLOOKUP(C118,'05_RS NAVALCARNERO'!$F$6:$R$28,13,FALSE),"")</f>
        <v/>
      </c>
      <c r="S118" s="135" t="str">
        <f>IFERROR(VLOOKUP(C118,'05_RS NAVALCARNERO'!$F$6:$T$28,15,FALSE),"")</f>
        <v/>
      </c>
      <c r="T118" s="138" t="e">
        <f t="shared" si="111"/>
        <v>#VALUE!</v>
      </c>
      <c r="U118" s="135" t="str">
        <f>IFERROR(VLOOKUP(C118,'06_TCT NUEVO BAZTÁN'!$F$6:$R$28,13,FALSE),"")</f>
        <v/>
      </c>
      <c r="V118" s="135" t="str">
        <f>IFERROR(VLOOKUP(C118,'06_TCT NUEVO BAZTÁN'!$F$6:$T$28,15,FALSE),"")</f>
        <v/>
      </c>
      <c r="W118" s="138" t="e">
        <f t="shared" si="112"/>
        <v>#VALUE!</v>
      </c>
      <c r="X118" s="139" t="e">
        <f t="shared" si="113"/>
        <v>#VALUE!</v>
      </c>
      <c r="Y118" s="140" t="str">
        <f t="shared" si="114"/>
        <v>Sí</v>
      </c>
      <c r="Z118" s="141">
        <f t="shared" si="115"/>
        <v>6</v>
      </c>
      <c r="AA118" s="148"/>
      <c r="AB118" s="262" t="str">
        <f>IFERROR(VLOOKUP(C118,Tabla15[[Piloto2]:[Puntos clase5]],4, FALSE), " ")</f>
        <v>2RM</v>
      </c>
    </row>
    <row r="119" spans="2:35" ht="12.75" customHeight="1" x14ac:dyDescent="0.3">
      <c r="B119" s="133">
        <v>5</v>
      </c>
      <c r="C119" s="142" t="s">
        <v>457</v>
      </c>
      <c r="D119" s="482">
        <v>3</v>
      </c>
      <c r="E119" s="482" t="str">
        <f t="shared" si="106"/>
        <v>2</v>
      </c>
      <c r="F119" s="135">
        <f>IFERROR(VLOOKUP(C119,'01_RS ALCARRIA'!$F$6:$R$36,13,FALSE),"")</f>
        <v>12</v>
      </c>
      <c r="G119" s="135">
        <f>IFERROR(VLOOKUP(C119,'01_RS ALCARRIA'!$F$6:$T$36,15,FALSE),"")</f>
        <v>8</v>
      </c>
      <c r="H119" s="138">
        <f t="shared" si="107"/>
        <v>40</v>
      </c>
      <c r="I119" s="135" t="str">
        <f>IFERROR(VLOOKUP(C119,'02_TCT GUADAMUR'!$F$6:$R$36,13,FALSE),"")</f>
        <v/>
      </c>
      <c r="J119" s="135" t="str">
        <f>IFERROR(VLOOKUP(C119,'02_TCT GUADAMUR'!$F$6:$T$36,15,FALSE),"")</f>
        <v/>
      </c>
      <c r="K119" s="138" t="e">
        <f t="shared" si="108"/>
        <v>#VALUE!</v>
      </c>
      <c r="L119" s="135" t="str">
        <f>IFERROR(VLOOKUP(C119,'03_TCT MAQUEDA'!$F$6:$R$36,13,FALSE),"")</f>
        <v/>
      </c>
      <c r="M119" s="135" t="str">
        <f>IFERROR(VLOOKUP(C119,'03_TCT MAQUEDA'!$F$6:$T$36,15,FALSE),"")</f>
        <v/>
      </c>
      <c r="N119" s="138" t="e">
        <f t="shared" si="109"/>
        <v>#VALUE!</v>
      </c>
      <c r="O119" s="135" t="str">
        <f>IFERROR(VLOOKUP(C119,'04_RALLYE CAM'!$F$6:$R$36,13,FALSE),"")</f>
        <v/>
      </c>
      <c r="P119" s="135" t="str">
        <f>IFERROR(VLOOKUP(C119,'04_RALLYE CAM'!$F$6:$T$36,15,FALSE),"")</f>
        <v/>
      </c>
      <c r="Q119" s="138" t="e">
        <f t="shared" si="110"/>
        <v>#VALUE!</v>
      </c>
      <c r="R119" s="135" t="str">
        <f>IFERROR(VLOOKUP(C119,'05_RS NAVALCARNERO'!$F$6:$R$28,13,FALSE),"")</f>
        <v/>
      </c>
      <c r="S119" s="135" t="str">
        <f>IFERROR(VLOOKUP(C119,'05_RS NAVALCARNERO'!$F$6:$T$28,15,FALSE),"")</f>
        <v/>
      </c>
      <c r="T119" s="138" t="e">
        <f t="shared" si="111"/>
        <v>#VALUE!</v>
      </c>
      <c r="U119" s="135" t="str">
        <f>IFERROR(VLOOKUP(C119,'06_TCT NUEVO BAZTÁN'!$F$6:$R$28,13,FALSE),"")</f>
        <v/>
      </c>
      <c r="V119" s="135" t="str">
        <f>IFERROR(VLOOKUP(C119,'06_TCT NUEVO BAZTÁN'!$F$6:$T$28,15,FALSE),"")</f>
        <v/>
      </c>
      <c r="W119" s="138" t="e">
        <f t="shared" si="112"/>
        <v>#VALUE!</v>
      </c>
      <c r="X119" s="139" t="e">
        <f t="shared" si="113"/>
        <v>#VALUE!</v>
      </c>
      <c r="Y119" s="140" t="str">
        <f t="shared" si="114"/>
        <v>Sí</v>
      </c>
      <c r="Z119" s="141">
        <f t="shared" si="115"/>
        <v>6</v>
      </c>
      <c r="AA119" s="148"/>
      <c r="AB119" s="262" t="str">
        <f>IFERROR(VLOOKUP(C119,Tabla15[[Piloto2]:[Puntos clase5]],4, FALSE), " ")</f>
        <v>2RM</v>
      </c>
    </row>
    <row r="120" spans="2:35" ht="12.75" customHeight="1" x14ac:dyDescent="0.3">
      <c r="B120" s="133">
        <v>6</v>
      </c>
      <c r="C120" s="142" t="s">
        <v>594</v>
      </c>
      <c r="D120" s="482">
        <v>3</v>
      </c>
      <c r="E120" s="482" t="str">
        <f t="shared" si="106"/>
        <v>2</v>
      </c>
      <c r="F120" s="135">
        <f>IFERROR(VLOOKUP(C120,'01_RS ALCARRIA'!$F$6:$R$36,13,FALSE),"")</f>
        <v>10</v>
      </c>
      <c r="G120" s="135">
        <f>IFERROR(VLOOKUP(C120,'01_RS ALCARRIA'!$F$6:$T$36,15,FALSE),"")</f>
        <v>6</v>
      </c>
      <c r="H120" s="138">
        <f t="shared" si="107"/>
        <v>32</v>
      </c>
      <c r="I120" s="135" t="str">
        <f>IFERROR(VLOOKUP(C120,'02_TCT GUADAMUR'!$F$6:$R$36,13,FALSE),"")</f>
        <v/>
      </c>
      <c r="J120" s="135" t="str">
        <f>IFERROR(VLOOKUP(C120,'02_TCT GUADAMUR'!$F$6:$T$36,15,FALSE),"")</f>
        <v/>
      </c>
      <c r="K120" s="138" t="e">
        <f t="shared" si="108"/>
        <v>#VALUE!</v>
      </c>
      <c r="L120" s="135" t="str">
        <f>IFERROR(VLOOKUP(C120,'03_TCT MAQUEDA'!$F$6:$R$36,13,FALSE),"")</f>
        <v/>
      </c>
      <c r="M120" s="135" t="str">
        <f>IFERROR(VLOOKUP(C120,'03_TCT MAQUEDA'!$F$6:$T$36,15,FALSE),"")</f>
        <v/>
      </c>
      <c r="N120" s="138" t="e">
        <f t="shared" si="109"/>
        <v>#VALUE!</v>
      </c>
      <c r="O120" s="135" t="str">
        <f>IFERROR(VLOOKUP(C120,'04_RALLYE CAM'!$F$6:$R$36,13,FALSE),"")</f>
        <v/>
      </c>
      <c r="P120" s="135" t="str">
        <f>IFERROR(VLOOKUP(C120,'04_RALLYE CAM'!$F$6:$T$36,15,FALSE),"")</f>
        <v/>
      </c>
      <c r="Q120" s="138" t="e">
        <f t="shared" si="110"/>
        <v>#VALUE!</v>
      </c>
      <c r="R120" s="135" t="str">
        <f>IFERROR(VLOOKUP(C120,'05_RS NAVALCARNERO'!$F$6:$R$28,13,FALSE),"")</f>
        <v/>
      </c>
      <c r="S120" s="135" t="str">
        <f>IFERROR(VLOOKUP(C120,'05_RS NAVALCARNERO'!$F$6:$T$28,15,FALSE),"")</f>
        <v/>
      </c>
      <c r="T120" s="138" t="e">
        <f t="shared" si="111"/>
        <v>#VALUE!</v>
      </c>
      <c r="U120" s="135" t="str">
        <f>IFERROR(VLOOKUP(C120,'06_TCT NUEVO BAZTÁN'!$F$6:$R$28,13,FALSE),"")</f>
        <v/>
      </c>
      <c r="V120" s="135" t="str">
        <f>IFERROR(VLOOKUP(C120,'06_TCT NUEVO BAZTÁN'!$F$6:$T$28,15,FALSE),"")</f>
        <v/>
      </c>
      <c r="W120" s="138" t="e">
        <f t="shared" si="112"/>
        <v>#VALUE!</v>
      </c>
      <c r="X120" s="139" t="e">
        <f t="shared" si="113"/>
        <v>#VALUE!</v>
      </c>
      <c r="Y120" s="140" t="str">
        <f t="shared" si="114"/>
        <v>Sí</v>
      </c>
      <c r="Z120" s="141">
        <f t="shared" si="115"/>
        <v>6</v>
      </c>
      <c r="AA120" s="148"/>
      <c r="AB120" s="262" t="str">
        <f>IFERROR(VLOOKUP(C120,Tabla15[[Piloto2]:[Puntos clase5]],4, FALSE), " ")</f>
        <v>2RM</v>
      </c>
    </row>
    <row r="121" spans="2:35" ht="12.75" customHeight="1" x14ac:dyDescent="0.3">
      <c r="B121" s="133">
        <v>7</v>
      </c>
      <c r="C121" s="142" t="s">
        <v>596</v>
      </c>
      <c r="D121" s="482">
        <v>3</v>
      </c>
      <c r="E121" s="482" t="str">
        <f t="shared" si="106"/>
        <v>2</v>
      </c>
      <c r="F121" s="135">
        <f>IFERROR(VLOOKUP(C121,'01_RS ALCARRIA'!$F$6:$R$36,13,FALSE),"")</f>
        <v>8</v>
      </c>
      <c r="G121" s="135">
        <f>IFERROR(VLOOKUP(C121,'01_RS ALCARRIA'!$F$6:$T$36,15,FALSE),"")</f>
        <v>5</v>
      </c>
      <c r="H121" s="138">
        <f t="shared" si="107"/>
        <v>26</v>
      </c>
      <c r="I121" s="135">
        <f>IFERROR(VLOOKUP(C121,'02_TCT GUADAMUR'!$F$6:$R$36,13,FALSE),"")</f>
        <v>4</v>
      </c>
      <c r="J121" s="135">
        <f>IFERROR(VLOOKUP(C121,'02_TCT GUADAMUR'!$F$6:$T$36,15,FALSE),"")</f>
        <v>6</v>
      </c>
      <c r="K121" s="138">
        <f t="shared" si="108"/>
        <v>10</v>
      </c>
      <c r="L121" s="135">
        <f>IFERROR(VLOOKUP(C121,'03_TCT MAQUEDA'!$F$6:$R$36,13,FALSE),"")</f>
        <v>3</v>
      </c>
      <c r="M121" s="135">
        <f>IFERROR(VLOOKUP(C121,'03_TCT MAQUEDA'!$F$6:$T$36,15,FALSE),"")</f>
        <v>6</v>
      </c>
      <c r="N121" s="138">
        <f t="shared" si="109"/>
        <v>9</v>
      </c>
      <c r="O121" s="135" t="str">
        <f>IFERROR(VLOOKUP(C121,'04_RALLYE CAM'!$F$6:$R$36,13,FALSE),"")</f>
        <v/>
      </c>
      <c r="P121" s="135" t="str">
        <f>IFERROR(VLOOKUP(C121,'04_RALLYE CAM'!$F$6:$T$36,15,FALSE),"")</f>
        <v/>
      </c>
      <c r="Q121" s="138" t="e">
        <f t="shared" si="110"/>
        <v>#VALUE!</v>
      </c>
      <c r="R121" s="135" t="str">
        <f>IFERROR(VLOOKUP(C121,'05_RS NAVALCARNERO'!$F$6:$R$28,13,FALSE),"")</f>
        <v/>
      </c>
      <c r="S121" s="135" t="str">
        <f>IFERROR(VLOOKUP(C121,'05_RS NAVALCARNERO'!$F$6:$T$28,15,FALSE),"")</f>
        <v/>
      </c>
      <c r="T121" s="138" t="e">
        <f t="shared" si="111"/>
        <v>#VALUE!</v>
      </c>
      <c r="U121" s="135" t="str">
        <f>IFERROR(VLOOKUP(C121,'06_TCT NUEVO BAZTÁN'!$F$6:$R$28,13,FALSE),"")</f>
        <v/>
      </c>
      <c r="V121" s="135" t="str">
        <f>IFERROR(VLOOKUP(C121,'06_TCT NUEVO BAZTÁN'!$F$6:$T$28,15,FALSE),"")</f>
        <v/>
      </c>
      <c r="W121" s="138" t="e">
        <f t="shared" si="112"/>
        <v>#VALUE!</v>
      </c>
      <c r="X121" s="139" t="e">
        <f t="shared" si="113"/>
        <v>#VALUE!</v>
      </c>
      <c r="Y121" s="140" t="str">
        <f t="shared" si="114"/>
        <v>Sí</v>
      </c>
      <c r="Z121" s="141">
        <f t="shared" si="115"/>
        <v>6</v>
      </c>
      <c r="AA121" s="148"/>
      <c r="AB121" s="262" t="str">
        <f>IFERROR(VLOOKUP(C121,Tabla15[[Piloto2]:[Puntos clase5]],4, FALSE), " ")</f>
        <v>2RM</v>
      </c>
    </row>
    <row r="122" spans="2:35" ht="12.75" customHeight="1" x14ac:dyDescent="0.3">
      <c r="B122" s="133">
        <v>8</v>
      </c>
      <c r="C122" s="142" t="s">
        <v>598</v>
      </c>
      <c r="D122" s="482">
        <v>5</v>
      </c>
      <c r="E122" s="482" t="str">
        <f t="shared" si="106"/>
        <v>2</v>
      </c>
      <c r="F122" s="135">
        <f>IFERROR(VLOOKUP(C122,'01_RS ALCARRIA'!$F$6:$R$36,13,FALSE),"")</f>
        <v>6</v>
      </c>
      <c r="G122" s="135">
        <f>IFERROR(VLOOKUP(C122,'01_RS ALCARRIA'!$F$6:$T$36,15,FALSE),"")</f>
        <v>10</v>
      </c>
      <c r="H122" s="138">
        <f t="shared" si="107"/>
        <v>32</v>
      </c>
      <c r="I122" s="135">
        <f>IFERROR(VLOOKUP(C122,'02_TCT GUADAMUR'!$F$6:$R$36,13,FALSE),"")</f>
        <v>10</v>
      </c>
      <c r="J122" s="135">
        <f>IFERROR(VLOOKUP(C122,'02_TCT GUADAMUR'!$F$6:$T$36,15,FALSE),"")</f>
        <v>10</v>
      </c>
      <c r="K122" s="138">
        <f t="shared" si="108"/>
        <v>20</v>
      </c>
      <c r="L122" s="135" t="str">
        <f>IFERROR(VLOOKUP(C122,'03_TCT MAQUEDA'!$F$6:$R$36,13,FALSE),"")</f>
        <v/>
      </c>
      <c r="M122" s="135" t="str">
        <f>IFERROR(VLOOKUP(C122,'03_TCT MAQUEDA'!$F$6:$T$36,15,FALSE),"")</f>
        <v/>
      </c>
      <c r="N122" s="138" t="e">
        <f t="shared" si="109"/>
        <v>#VALUE!</v>
      </c>
      <c r="O122" s="135" t="str">
        <f>IFERROR(VLOOKUP(C122,'04_RALLYE CAM'!$F$6:$R$36,13,FALSE),"")</f>
        <v/>
      </c>
      <c r="P122" s="135" t="str">
        <f>IFERROR(VLOOKUP(C122,'04_RALLYE CAM'!$F$6:$T$36,15,FALSE),"")</f>
        <v/>
      </c>
      <c r="Q122" s="138" t="e">
        <f t="shared" si="110"/>
        <v>#VALUE!</v>
      </c>
      <c r="R122" s="135" t="str">
        <f>IFERROR(VLOOKUP(C122,'05_RS NAVALCARNERO'!$F$6:$R$28,13,FALSE),"")</f>
        <v/>
      </c>
      <c r="S122" s="135" t="str">
        <f>IFERROR(VLOOKUP(C122,'05_RS NAVALCARNERO'!$F$6:$T$28,15,FALSE),"")</f>
        <v/>
      </c>
      <c r="T122" s="138" t="e">
        <f t="shared" si="111"/>
        <v>#VALUE!</v>
      </c>
      <c r="U122" s="135" t="str">
        <f>IFERROR(VLOOKUP(C122,'06_TCT NUEVO BAZTÁN'!$F$6:$R$28,13,FALSE),"")</f>
        <v/>
      </c>
      <c r="V122" s="135" t="str">
        <f>IFERROR(VLOOKUP(C122,'06_TCT NUEVO BAZTÁN'!$F$6:$T$28,15,FALSE),"")</f>
        <v/>
      </c>
      <c r="W122" s="138" t="e">
        <f t="shared" si="112"/>
        <v>#VALUE!</v>
      </c>
      <c r="X122" s="139" t="e">
        <f t="shared" si="113"/>
        <v>#VALUE!</v>
      </c>
      <c r="Y122" s="140" t="str">
        <f t="shared" si="114"/>
        <v>Sí</v>
      </c>
      <c r="Z122" s="141">
        <f t="shared" si="115"/>
        <v>6</v>
      </c>
      <c r="AA122" s="148"/>
      <c r="AB122" s="262" t="str">
        <f>IFERROR(VLOOKUP(C122,Tabla15[[Piloto2]:[Puntos clase5]],4, FALSE), " ")</f>
        <v>2RM</v>
      </c>
    </row>
    <row r="123" spans="2:35" ht="12.75" customHeight="1" x14ac:dyDescent="0.3">
      <c r="B123" s="133">
        <v>9</v>
      </c>
      <c r="C123" s="142" t="s">
        <v>605</v>
      </c>
      <c r="D123" s="482">
        <v>3</v>
      </c>
      <c r="E123" s="482" t="str">
        <f t="shared" si="106"/>
        <v>2</v>
      </c>
      <c r="F123" s="135">
        <f>IFERROR(VLOOKUP(C123,'01_RS ALCARRIA'!$F$6:$R$36,13,FALSE),"")</f>
        <v>5</v>
      </c>
      <c r="G123" s="135">
        <f>IFERROR(VLOOKUP(C123,'01_RS ALCARRIA'!$F$6:$T$36,15,FALSE),"")</f>
        <v>3</v>
      </c>
      <c r="H123" s="138">
        <f t="shared" si="107"/>
        <v>16</v>
      </c>
      <c r="I123" s="135">
        <f>IFERROR(VLOOKUP(C123,'02_TCT GUADAMUR'!$F$6:$R$36,13,FALSE),"")</f>
        <v>0</v>
      </c>
      <c r="J123" s="135">
        <f>IFERROR(VLOOKUP(C123,'02_TCT GUADAMUR'!$F$6:$T$36,15,FALSE),"")</f>
        <v>1</v>
      </c>
      <c r="K123" s="138">
        <f t="shared" si="108"/>
        <v>1</v>
      </c>
      <c r="L123" s="135">
        <v>0</v>
      </c>
      <c r="M123" s="135">
        <v>0</v>
      </c>
      <c r="N123" s="138">
        <f t="shared" si="109"/>
        <v>0</v>
      </c>
      <c r="O123" s="135" t="str">
        <f>IFERROR(VLOOKUP(C123,'04_RALLYE CAM'!$F$6:$R$36,13,FALSE),"")</f>
        <v/>
      </c>
      <c r="P123" s="135" t="str">
        <f>IFERROR(VLOOKUP(C123,'04_RALLYE CAM'!$F$6:$T$36,15,FALSE),"")</f>
        <v/>
      </c>
      <c r="Q123" s="138" t="e">
        <f t="shared" si="110"/>
        <v>#VALUE!</v>
      </c>
      <c r="R123" s="135" t="str">
        <f>IFERROR(VLOOKUP(C123,'05_RS NAVALCARNERO'!$F$6:$R$28,13,FALSE),"")</f>
        <v/>
      </c>
      <c r="S123" s="135" t="str">
        <f>IFERROR(VLOOKUP(C123,'05_RS NAVALCARNERO'!$F$6:$T$28,15,FALSE),"")</f>
        <v/>
      </c>
      <c r="T123" s="138" t="e">
        <f t="shared" si="111"/>
        <v>#VALUE!</v>
      </c>
      <c r="U123" s="135" t="str">
        <f>IFERROR(VLOOKUP(C123,'06_TCT NUEVO BAZTÁN'!$F$6:$R$28,13,FALSE),"")</f>
        <v/>
      </c>
      <c r="V123" s="135" t="str">
        <f>IFERROR(VLOOKUP(C123,'06_TCT NUEVO BAZTÁN'!$F$6:$T$28,15,FALSE),"")</f>
        <v/>
      </c>
      <c r="W123" s="138" t="e">
        <f t="shared" si="112"/>
        <v>#VALUE!</v>
      </c>
      <c r="X123" s="139" t="e">
        <f t="shared" si="113"/>
        <v>#VALUE!</v>
      </c>
      <c r="Y123" s="140" t="str">
        <f t="shared" si="114"/>
        <v>Sí</v>
      </c>
      <c r="Z123" s="141">
        <f t="shared" si="115"/>
        <v>6</v>
      </c>
      <c r="AA123" s="148"/>
      <c r="AB123" s="262" t="str">
        <f>IFERROR(VLOOKUP(C123,Tabla15[[Piloto2]:[Puntos clase5]],4, FALSE), " ")</f>
        <v>2RM</v>
      </c>
    </row>
    <row r="124" spans="2:35" ht="12.75" customHeight="1" x14ac:dyDescent="0.3">
      <c r="B124" s="133">
        <v>10</v>
      </c>
      <c r="C124" s="142" t="s">
        <v>212</v>
      </c>
      <c r="D124" s="482">
        <v>3</v>
      </c>
      <c r="E124" s="482" t="str">
        <f t="shared" si="106"/>
        <v>2</v>
      </c>
      <c r="F124" s="135">
        <f>IFERROR(VLOOKUP(C124,'01_RS ALCARRIA'!$F$6:$R$36,13,FALSE),"")</f>
        <v>4</v>
      </c>
      <c r="G124" s="135">
        <f>IFERROR(VLOOKUP(C124,'01_RS ALCARRIA'!$F$6:$T$36,15,FALSE),"")</f>
        <v>1</v>
      </c>
      <c r="H124" s="138">
        <f t="shared" si="107"/>
        <v>10</v>
      </c>
      <c r="I124" s="135" t="str">
        <f>IFERROR(VLOOKUP(C124,'02_TCT GUADAMUR'!$F$6:$R$36,13,FALSE),"")</f>
        <v/>
      </c>
      <c r="J124" s="135" t="str">
        <f>IFERROR(VLOOKUP(C124,'02_TCT GUADAMUR'!$F$6:$T$36,15,FALSE),"")</f>
        <v/>
      </c>
      <c r="K124" s="138" t="e">
        <f t="shared" si="108"/>
        <v>#VALUE!</v>
      </c>
      <c r="L124" s="135" t="str">
        <f>IFERROR(VLOOKUP(C124,'03_TCT MAQUEDA'!$F$6:$R$36,13,FALSE),"")</f>
        <v/>
      </c>
      <c r="M124" s="135" t="str">
        <f>IFERROR(VLOOKUP(C124,'03_TCT MAQUEDA'!$F$6:$T$36,15,FALSE),"")</f>
        <v/>
      </c>
      <c r="N124" s="138" t="e">
        <f t="shared" si="109"/>
        <v>#VALUE!</v>
      </c>
      <c r="O124" s="135" t="str">
        <f>IFERROR(VLOOKUP(C124,'04_RALLYE CAM'!$F$6:$R$36,13,FALSE),"")</f>
        <v/>
      </c>
      <c r="P124" s="135" t="str">
        <f>IFERROR(VLOOKUP(C124,'04_RALLYE CAM'!$F$6:$T$36,15,FALSE),"")</f>
        <v/>
      </c>
      <c r="Q124" s="138" t="e">
        <f t="shared" si="110"/>
        <v>#VALUE!</v>
      </c>
      <c r="R124" s="135" t="str">
        <f>IFERROR(VLOOKUP(C124,'05_RS NAVALCARNERO'!$F$6:$R$28,13,FALSE),"")</f>
        <v/>
      </c>
      <c r="S124" s="135" t="str">
        <f>IFERROR(VLOOKUP(C124,'05_RS NAVALCARNERO'!$F$6:$T$28,15,FALSE),"")</f>
        <v/>
      </c>
      <c r="T124" s="138" t="e">
        <f t="shared" si="111"/>
        <v>#VALUE!</v>
      </c>
      <c r="U124" s="135" t="str">
        <f>IFERROR(VLOOKUP(C124,'06_TCT NUEVO BAZTÁN'!$F$6:$R$28,13,FALSE),"")</f>
        <v/>
      </c>
      <c r="V124" s="135" t="str">
        <f>IFERROR(VLOOKUP(C124,'06_TCT NUEVO BAZTÁN'!$F$6:$T$28,15,FALSE),"")</f>
        <v/>
      </c>
      <c r="W124" s="138" t="e">
        <f t="shared" si="112"/>
        <v>#VALUE!</v>
      </c>
      <c r="X124" s="139" t="e">
        <f t="shared" si="113"/>
        <v>#VALUE!</v>
      </c>
      <c r="Y124" s="140" t="str">
        <f t="shared" si="114"/>
        <v>Sí</v>
      </c>
      <c r="Z124" s="141">
        <f t="shared" si="115"/>
        <v>6</v>
      </c>
      <c r="AA124" s="148"/>
      <c r="AB124" s="262" t="str">
        <f>IFERROR(VLOOKUP(C124,Tabla15[[Piloto2]:[Puntos clase5]],4, FALSE), " ")</f>
        <v>2RM</v>
      </c>
    </row>
    <row r="125" spans="2:35" ht="12.75" customHeight="1" x14ac:dyDescent="0.3">
      <c r="B125" s="133">
        <v>11</v>
      </c>
      <c r="C125" s="142" t="s">
        <v>608</v>
      </c>
      <c r="D125" s="482">
        <v>3</v>
      </c>
      <c r="E125" s="482" t="str">
        <f t="shared" si="106"/>
        <v>2</v>
      </c>
      <c r="F125" s="135">
        <f>IFERROR(VLOOKUP(C125,'01_RS ALCARRIA'!$F$6:$R$36,13,FALSE),"")</f>
        <v>3</v>
      </c>
      <c r="G125" s="135">
        <f>IFERROR(VLOOKUP(C125,'01_RS ALCARRIA'!$F$6:$T$36,15,FALSE),"")</f>
        <v>0</v>
      </c>
      <c r="H125" s="138">
        <f t="shared" si="107"/>
        <v>6</v>
      </c>
      <c r="I125" s="135">
        <f>IFERROR(VLOOKUP(C125,'02_TCT GUADAMUR'!$F$6:$R$36,13,FALSE),"")</f>
        <v>0</v>
      </c>
      <c r="J125" s="135">
        <f>IFERROR(VLOOKUP(C125,'02_TCT GUADAMUR'!$F$6:$T$36,15,FALSE),"")</f>
        <v>0</v>
      </c>
      <c r="K125" s="138">
        <f t="shared" si="108"/>
        <v>0</v>
      </c>
      <c r="L125" s="135">
        <f>IFERROR(VLOOKUP(C125,'03_TCT MAQUEDA'!$F$6:$R$36,13,FALSE),"")</f>
        <v>1</v>
      </c>
      <c r="M125" s="135">
        <f>IFERROR(VLOOKUP(C125,'03_TCT MAQUEDA'!$F$6:$T$36,15,FALSE),"")</f>
        <v>3</v>
      </c>
      <c r="N125" s="138">
        <f t="shared" si="109"/>
        <v>4</v>
      </c>
      <c r="O125" s="135" t="str">
        <f>IFERROR(VLOOKUP(C125,'04_RALLYE CAM'!$F$6:$R$36,13,FALSE),"")</f>
        <v/>
      </c>
      <c r="P125" s="135" t="str">
        <f>IFERROR(VLOOKUP(C125,'04_RALLYE CAM'!$F$6:$T$36,15,FALSE),"")</f>
        <v/>
      </c>
      <c r="Q125" s="138" t="e">
        <f t="shared" si="110"/>
        <v>#VALUE!</v>
      </c>
      <c r="R125" s="135" t="str">
        <f>IFERROR(VLOOKUP(C125,'05_RS NAVALCARNERO'!$F$6:$R$28,13,FALSE),"")</f>
        <v/>
      </c>
      <c r="S125" s="135" t="str">
        <f>IFERROR(VLOOKUP(C125,'05_RS NAVALCARNERO'!$F$6:$T$28,15,FALSE),"")</f>
        <v/>
      </c>
      <c r="T125" s="138" t="e">
        <f t="shared" si="111"/>
        <v>#VALUE!</v>
      </c>
      <c r="U125" s="135" t="str">
        <f>IFERROR(VLOOKUP(C125,'06_TCT NUEVO BAZTÁN'!$F$6:$R$28,13,FALSE),"")</f>
        <v/>
      </c>
      <c r="V125" s="135" t="str">
        <f>IFERROR(VLOOKUP(C125,'06_TCT NUEVO BAZTÁN'!$F$6:$T$28,15,FALSE),"")</f>
        <v/>
      </c>
      <c r="W125" s="138" t="e">
        <f t="shared" si="112"/>
        <v>#VALUE!</v>
      </c>
      <c r="X125" s="139" t="e">
        <f t="shared" si="113"/>
        <v>#VALUE!</v>
      </c>
      <c r="Y125" s="140" t="str">
        <f t="shared" si="114"/>
        <v>Sí</v>
      </c>
      <c r="Z125" s="141">
        <f t="shared" si="115"/>
        <v>6</v>
      </c>
      <c r="AA125" s="148"/>
      <c r="AB125" s="262" t="str">
        <f>IFERROR(VLOOKUP(C125,Tabla15[[Piloto2]:[Puntos clase5]],4, FALSE), " ")</f>
        <v>2RM</v>
      </c>
      <c r="AC125" s="232" t="s">
        <v>271</v>
      </c>
      <c r="AD125" s="229"/>
      <c r="AE125" s="229"/>
      <c r="AF125" s="229"/>
      <c r="AG125" s="229"/>
      <c r="AH125" s="229"/>
      <c r="AI125" s="230"/>
    </row>
    <row r="126" spans="2:35" ht="12.75" customHeight="1" x14ac:dyDescent="0.3">
      <c r="B126" s="133">
        <v>12</v>
      </c>
      <c r="C126" s="142" t="s">
        <v>611</v>
      </c>
      <c r="D126" s="482">
        <v>3</v>
      </c>
      <c r="E126" s="482" t="str">
        <f t="shared" si="106"/>
        <v>2</v>
      </c>
      <c r="F126" s="135">
        <f>IFERROR(VLOOKUP(C126,'01_RS ALCARRIA'!$F$6:$R$36,13,FALSE),"")</f>
        <v>2</v>
      </c>
      <c r="G126" s="135">
        <f>IFERROR(VLOOKUP(C126,'01_RS ALCARRIA'!$F$6:$T$36,15,FALSE),"")</f>
        <v>0</v>
      </c>
      <c r="H126" s="138">
        <f t="shared" si="107"/>
        <v>4</v>
      </c>
      <c r="I126" s="135">
        <f>IFERROR(VLOOKUP(C126,'02_TCT GUADAMUR'!$F$6:$R$36,13,FALSE),"")</f>
        <v>1</v>
      </c>
      <c r="J126" s="135">
        <f>IFERROR(VLOOKUP(C126,'02_TCT GUADAMUR'!$F$6:$T$36,15,FALSE),"")</f>
        <v>3</v>
      </c>
      <c r="K126" s="138">
        <f t="shared" si="108"/>
        <v>4</v>
      </c>
      <c r="L126" s="135">
        <f>IFERROR(VLOOKUP(C126,'03_TCT MAQUEDA'!$F$6:$R$36,13,FALSE),"")</f>
        <v>5</v>
      </c>
      <c r="M126" s="135">
        <f>IFERROR(VLOOKUP(C126,'03_TCT MAQUEDA'!$F$6:$T$36,15,FALSE),"")</f>
        <v>8</v>
      </c>
      <c r="N126" s="138">
        <f t="shared" si="109"/>
        <v>13</v>
      </c>
      <c r="O126" s="135" t="str">
        <f>IFERROR(VLOOKUP(C126,'04_RALLYE CAM'!$F$6:$R$36,13,FALSE),"")</f>
        <v/>
      </c>
      <c r="P126" s="135" t="str">
        <f>IFERROR(VLOOKUP(C126,'04_RALLYE CAM'!$F$6:$T$36,15,FALSE),"")</f>
        <v/>
      </c>
      <c r="Q126" s="138" t="e">
        <f t="shared" si="110"/>
        <v>#VALUE!</v>
      </c>
      <c r="R126" s="135" t="str">
        <f>IFERROR(VLOOKUP(C126,'05_RS NAVALCARNERO'!$F$6:$R$28,13,FALSE),"")</f>
        <v/>
      </c>
      <c r="S126" s="135" t="str">
        <f>IFERROR(VLOOKUP(C126,'05_RS NAVALCARNERO'!$F$6:$T$28,15,FALSE),"")</f>
        <v/>
      </c>
      <c r="T126" s="138" t="e">
        <f t="shared" si="111"/>
        <v>#VALUE!</v>
      </c>
      <c r="U126" s="135" t="str">
        <f>IFERROR(VLOOKUP(C126,'06_TCT NUEVO BAZTÁN'!$F$6:$R$28,13,FALSE),"")</f>
        <v/>
      </c>
      <c r="V126" s="135" t="str">
        <f>IFERROR(VLOOKUP(C126,'06_TCT NUEVO BAZTÁN'!$F$6:$T$28,15,FALSE),"")</f>
        <v/>
      </c>
      <c r="W126" s="138" t="e">
        <f t="shared" si="112"/>
        <v>#VALUE!</v>
      </c>
      <c r="X126" s="139" t="e">
        <f t="shared" si="113"/>
        <v>#VALUE!</v>
      </c>
      <c r="Y126" s="140" t="str">
        <f t="shared" si="114"/>
        <v>Sí</v>
      </c>
      <c r="Z126" s="141">
        <f t="shared" si="115"/>
        <v>6</v>
      </c>
      <c r="AA126" s="148"/>
      <c r="AB126" s="262" t="str">
        <f>IFERROR(VLOOKUP(C126,Tabla15[[Piloto2]:[Puntos clase5]],4, FALSE), " ")</f>
        <v>2RM</v>
      </c>
      <c r="AC126" s="8" t="s">
        <v>272</v>
      </c>
      <c r="AD126" s="8">
        <v>1</v>
      </c>
      <c r="AE126" s="8">
        <v>2</v>
      </c>
      <c r="AF126" s="8">
        <v>3</v>
      </c>
      <c r="AG126" s="8">
        <v>4</v>
      </c>
      <c r="AH126" s="8">
        <v>5</v>
      </c>
      <c r="AI126" s="8" t="s">
        <v>9</v>
      </c>
    </row>
    <row r="127" spans="2:35" ht="12.75" customHeight="1" x14ac:dyDescent="0.3">
      <c r="B127" s="133">
        <v>13</v>
      </c>
      <c r="C127" s="142" t="s">
        <v>613</v>
      </c>
      <c r="D127" s="482">
        <v>3</v>
      </c>
      <c r="E127" s="482" t="str">
        <f t="shared" si="106"/>
        <v>2</v>
      </c>
      <c r="F127" s="135">
        <f>IFERROR(VLOOKUP(C127,'01_RS ALCARRIA'!$F$6:$R$36,13,FALSE),"")</f>
        <v>1</v>
      </c>
      <c r="G127" s="135">
        <f>IFERROR(VLOOKUP(C127,'01_RS ALCARRIA'!$F$6:$T$36,15,FALSE),"")</f>
        <v>0</v>
      </c>
      <c r="H127" s="138">
        <f t="shared" si="107"/>
        <v>2</v>
      </c>
      <c r="I127" s="135" t="str">
        <f>IFERROR(VLOOKUP(C127,'02_TCT GUADAMUR'!$F$6:$R$36,13,FALSE),"")</f>
        <v/>
      </c>
      <c r="J127" s="135" t="str">
        <f>IFERROR(VLOOKUP(C127,'02_TCT GUADAMUR'!$F$6:$T$36,15,FALSE),"")</f>
        <v/>
      </c>
      <c r="K127" s="138" t="e">
        <f t="shared" si="108"/>
        <v>#VALUE!</v>
      </c>
      <c r="L127" s="135">
        <f>IFERROR(VLOOKUP(C127,'03_TCT MAQUEDA'!$F$6:$R$36,13,FALSE),"")</f>
        <v>0</v>
      </c>
      <c r="M127" s="135">
        <f>IFERROR(VLOOKUP(C127,'03_TCT MAQUEDA'!$F$6:$T$36,15,FALSE),"")</f>
        <v>1</v>
      </c>
      <c r="N127" s="138">
        <f t="shared" si="109"/>
        <v>1</v>
      </c>
      <c r="O127" s="135" t="str">
        <f>IFERROR(VLOOKUP(C127,'04_RALLYE CAM'!$F$6:$R$36,13,FALSE),"")</f>
        <v/>
      </c>
      <c r="P127" s="135" t="str">
        <f>IFERROR(VLOOKUP(C127,'04_RALLYE CAM'!$F$6:$T$36,15,FALSE),"")</f>
        <v/>
      </c>
      <c r="Q127" s="138" t="e">
        <f t="shared" si="110"/>
        <v>#VALUE!</v>
      </c>
      <c r="R127" s="135" t="str">
        <f>IFERROR(VLOOKUP(C127,'05_RS NAVALCARNERO'!$F$6:$R$28,13,FALSE),"")</f>
        <v/>
      </c>
      <c r="S127" s="135" t="str">
        <f>IFERROR(VLOOKUP(C127,'05_RS NAVALCARNERO'!$F$6:$T$28,15,FALSE),"")</f>
        <v/>
      </c>
      <c r="T127" s="138" t="e">
        <f t="shared" si="111"/>
        <v>#VALUE!</v>
      </c>
      <c r="U127" s="135" t="str">
        <f>IFERROR(VLOOKUP(C127,'06_TCT NUEVO BAZTÁN'!$F$6:$R$28,13,FALSE),"")</f>
        <v/>
      </c>
      <c r="V127" s="135" t="str">
        <f>IFERROR(VLOOKUP(C127,'06_TCT NUEVO BAZTÁN'!$F$6:$T$28,15,FALSE),"")</f>
        <v/>
      </c>
      <c r="W127" s="138" t="e">
        <f t="shared" si="112"/>
        <v>#VALUE!</v>
      </c>
      <c r="X127" s="139" t="e">
        <f t="shared" si="113"/>
        <v>#VALUE!</v>
      </c>
      <c r="Y127" s="140" t="str">
        <f t="shared" si="114"/>
        <v>Sí</v>
      </c>
      <c r="Z127" s="141">
        <f t="shared" si="115"/>
        <v>6</v>
      </c>
      <c r="AA127" s="148"/>
      <c r="AB127" s="262" t="str">
        <f>IFERROR(VLOOKUP(C127,Tabla15[[Piloto2]:[Puntos clase5]],4, FALSE), " ")</f>
        <v>2RM</v>
      </c>
      <c r="AC127" s="8">
        <f>COUNTA(C6:C25)</f>
        <v>20</v>
      </c>
      <c r="AD127" s="8">
        <f>COUNTIF($D$6:$D$25,AD126)</f>
        <v>2</v>
      </c>
      <c r="AE127" s="8">
        <f>COUNTIF($D$6:$D$25,AE126)</f>
        <v>3</v>
      </c>
      <c r="AF127" s="8">
        <f>COUNTIF($D$6:$D$25,AF126)</f>
        <v>11</v>
      </c>
      <c r="AG127" s="8">
        <f>COUNTIF($D$6:$D$25,AG126)</f>
        <v>3</v>
      </c>
      <c r="AH127" s="8">
        <f>COUNTIF($D$6:$D$25,AH126)</f>
        <v>1</v>
      </c>
      <c r="AI127" s="231">
        <f>SUM(AD127:AH127)</f>
        <v>20</v>
      </c>
    </row>
    <row r="128" spans="2:35" ht="12.75" customHeight="1" x14ac:dyDescent="0.3">
      <c r="B128" s="133">
        <v>14</v>
      </c>
      <c r="C128" s="142" t="s">
        <v>620</v>
      </c>
      <c r="D128" s="482">
        <v>3</v>
      </c>
      <c r="E128" s="482" t="str">
        <f>LEFT(AB128,LEN(AB128)-2)</f>
        <v>2</v>
      </c>
      <c r="F128" s="135">
        <f>IFERROR(VLOOKUP(C128,'01_RS ALCARRIA'!$F$6:$R$36,13,FALSE),"")</f>
        <v>0</v>
      </c>
      <c r="G128" s="135">
        <f>IFERROR(VLOOKUP(C128,'01_RS ALCARRIA'!$F$6:$T$36,15,FALSE),"")</f>
        <v>0</v>
      </c>
      <c r="H128" s="138">
        <f t="shared" si="107"/>
        <v>0</v>
      </c>
      <c r="I128" s="135" t="str">
        <f>IFERROR(VLOOKUP(C128,'02_TCT GUADAMUR'!$F$6:$R$36,13,FALSE),"")</f>
        <v/>
      </c>
      <c r="J128" s="135" t="str">
        <f>IFERROR(VLOOKUP(C128,'02_TCT GUADAMUR'!$F$6:$T$36,15,FALSE),"")</f>
        <v/>
      </c>
      <c r="K128" s="138" t="e">
        <f t="shared" si="108"/>
        <v>#VALUE!</v>
      </c>
      <c r="L128" s="135" t="str">
        <f>IFERROR(VLOOKUP(C128,'03_TCT MAQUEDA'!$F$6:$R$36,13,FALSE),"")</f>
        <v/>
      </c>
      <c r="M128" s="135" t="str">
        <f>IFERROR(VLOOKUP(C128,'03_TCT MAQUEDA'!$F$6:$T$36,15,FALSE),"")</f>
        <v/>
      </c>
      <c r="N128" s="138" t="e">
        <f t="shared" si="109"/>
        <v>#VALUE!</v>
      </c>
      <c r="O128" s="135" t="str">
        <f>IFERROR(VLOOKUP(C128,'04_RALLYE CAM'!$F$6:$R$36,13,FALSE),"")</f>
        <v/>
      </c>
      <c r="P128" s="135" t="str">
        <f>IFERROR(VLOOKUP(C128,'04_RALLYE CAM'!$F$6:$T$36,15,FALSE),"")</f>
        <v/>
      </c>
      <c r="Q128" s="138" t="e">
        <f t="shared" si="110"/>
        <v>#VALUE!</v>
      </c>
      <c r="R128" s="135" t="str">
        <f>IFERROR(VLOOKUP(C128,'05_RS NAVALCARNERO'!$F$6:$R$28,13,FALSE),"")</f>
        <v/>
      </c>
      <c r="S128" s="135" t="str">
        <f>IFERROR(VLOOKUP(C128,'05_RS NAVALCARNERO'!$F$6:$T$28,15,FALSE),"")</f>
        <v/>
      </c>
      <c r="T128" s="138" t="e">
        <f t="shared" si="111"/>
        <v>#VALUE!</v>
      </c>
      <c r="U128" s="135" t="str">
        <f>IFERROR(VLOOKUP(C128,'06_TCT NUEVO BAZTÁN'!$F$6:$R$28,13,FALSE),"")</f>
        <v/>
      </c>
      <c r="V128" s="135" t="str">
        <f>IFERROR(VLOOKUP(C128,'06_TCT NUEVO BAZTÁN'!$F$6:$T$28,15,FALSE),"")</f>
        <v/>
      </c>
      <c r="W128" s="138" t="e">
        <f t="shared" si="112"/>
        <v>#VALUE!</v>
      </c>
      <c r="X128" s="139" t="e">
        <f t="shared" si="113"/>
        <v>#VALUE!</v>
      </c>
      <c r="Y128" s="140" t="str">
        <f t="shared" si="114"/>
        <v>Sí</v>
      </c>
      <c r="Z128" s="141">
        <f t="shared" si="115"/>
        <v>6</v>
      </c>
      <c r="AA128" s="148"/>
      <c r="AB128" s="262" t="str">
        <f>IFERROR(VLOOKUP(C128,Tabla15[[Piloto2]:[Puntos clase5]],4, FALSE), " ")</f>
        <v>2RM</v>
      </c>
    </row>
    <row r="129" spans="2:39" ht="12.75" customHeight="1" x14ac:dyDescent="0.3">
      <c r="B129" s="133">
        <v>15</v>
      </c>
      <c r="C129" s="134" t="s">
        <v>625</v>
      </c>
      <c r="D129" s="482">
        <v>4</v>
      </c>
      <c r="E129" s="482" t="str">
        <f>LEFT(AB129,LEN(AB129)-2)</f>
        <v>2</v>
      </c>
      <c r="F129" s="135">
        <f>IFERROR(VLOOKUP(C129,'01_RS ALCARRIA'!$F$6:$R$36,13,FALSE),"")</f>
        <v>0</v>
      </c>
      <c r="G129" s="284">
        <f>IFERROR(VLOOKUP(C129,'01_RS ALCARRIA'!$F$6:$T$36,15,FALSE),"")/2</f>
        <v>5</v>
      </c>
      <c r="H129" s="138">
        <f t="shared" si="107"/>
        <v>10</v>
      </c>
      <c r="I129" s="135">
        <f>IFERROR(VLOOKUP(C129,'02_TCT GUADAMUR'!$F$6:$R$36,13,FALSE),"")</f>
        <v>2</v>
      </c>
      <c r="J129" s="135">
        <f>IFERROR(VLOOKUP(C129,'02_TCT GUADAMUR'!$F$6:$T$36,15,FALSE),"")</f>
        <v>8</v>
      </c>
      <c r="K129" s="138">
        <f t="shared" si="108"/>
        <v>10</v>
      </c>
      <c r="L129" s="135" t="str">
        <f>IFERROR(VLOOKUP(C129,'03_TCT MAQUEDA'!$F$6:$R$36,13,FALSE),"")</f>
        <v/>
      </c>
      <c r="M129" s="135" t="str">
        <f>IFERROR(VLOOKUP(C129,'03_TCT MAQUEDA'!$F$6:$T$36,15,FALSE),"")</f>
        <v/>
      </c>
      <c r="N129" s="138" t="e">
        <f t="shared" si="109"/>
        <v>#VALUE!</v>
      </c>
      <c r="O129" s="135" t="str">
        <f>IFERROR(VLOOKUP(C129,'04_RALLYE CAM'!$F$6:$R$36,13,FALSE),"")</f>
        <v/>
      </c>
      <c r="P129" s="135" t="str">
        <f>IFERROR(VLOOKUP(C129,'04_RALLYE CAM'!$F$6:$T$36,15,FALSE),"")</f>
        <v/>
      </c>
      <c r="Q129" s="138" t="e">
        <f t="shared" si="110"/>
        <v>#VALUE!</v>
      </c>
      <c r="R129" s="135" t="str">
        <f>IFERROR(VLOOKUP(C129,'05_RS NAVALCARNERO'!$F$6:$R$28,13,FALSE),"")</f>
        <v/>
      </c>
      <c r="S129" s="135" t="str">
        <f>IFERROR(VLOOKUP(C129,'05_RS NAVALCARNERO'!$F$6:$T$28,15,FALSE),"")</f>
        <v/>
      </c>
      <c r="T129" s="138" t="e">
        <f t="shared" si="111"/>
        <v>#VALUE!</v>
      </c>
      <c r="U129" s="135" t="str">
        <f>IFERROR(VLOOKUP(C129,'06_TCT NUEVO BAZTÁN'!$F$6:$R$28,13,FALSE),"")</f>
        <v/>
      </c>
      <c r="V129" s="135" t="str">
        <f>IFERROR(VLOOKUP(C129,'06_TCT NUEVO BAZTÁN'!$F$6:$T$28,15,FALSE),"")</f>
        <v/>
      </c>
      <c r="W129" s="138" t="e">
        <f t="shared" si="112"/>
        <v>#VALUE!</v>
      </c>
      <c r="X129" s="139" t="e">
        <f t="shared" si="113"/>
        <v>#VALUE!</v>
      </c>
      <c r="Y129" s="140" t="str">
        <f t="shared" si="114"/>
        <v>Sí</v>
      </c>
      <c r="Z129" s="141">
        <f t="shared" si="115"/>
        <v>6</v>
      </c>
      <c r="AA129" s="7"/>
      <c r="AB129" s="262" t="str">
        <f>IFERROR(VLOOKUP(C129,Tabla15[[Piloto2]:[Puntos clase5]],4, FALSE), " ")</f>
        <v>2RM</v>
      </c>
      <c r="AC129" s="6"/>
    </row>
    <row r="130" spans="2:39" ht="12.75" customHeight="1" x14ac:dyDescent="0.3">
      <c r="B130" s="133">
        <v>16</v>
      </c>
      <c r="C130" s="142" t="s">
        <v>627</v>
      </c>
      <c r="D130" s="482">
        <v>5</v>
      </c>
      <c r="E130" s="482" t="str">
        <f>LEFT(AB130,LEN(AB130)-2)</f>
        <v>4</v>
      </c>
      <c r="F130" s="135" t="str">
        <f>IFERROR(VLOOKUP(C130,'01_RS ALCARRIA'!$F$6:$R$36,13,FALSE),"")</f>
        <v/>
      </c>
      <c r="G130" s="135" t="str">
        <f>IFERROR(VLOOKUP(C130,'01_RS ALCARRIA'!$F$6:$T$36,15,FALSE),"")</f>
        <v/>
      </c>
      <c r="H130" s="138" t="e">
        <f t="shared" si="107"/>
        <v>#VALUE!</v>
      </c>
      <c r="I130" s="135">
        <f>IFERROR(VLOOKUP(C130,'02_TCT GUADAMUR'!$F$6:$R$36,13,FALSE),"")</f>
        <v>5</v>
      </c>
      <c r="J130" s="135">
        <f>IFERROR(VLOOKUP(C130,'02_TCT GUADAMUR'!$F$6:$T$36,15,FALSE),"")</f>
        <v>8</v>
      </c>
      <c r="K130" s="138">
        <f t="shared" si="108"/>
        <v>13</v>
      </c>
      <c r="L130" s="135" t="str">
        <f>IFERROR(VLOOKUP(C130,'03_TCT MAQUEDA'!$F$6:$R$36,13,FALSE),"")</f>
        <v/>
      </c>
      <c r="M130" s="135" t="str">
        <f>IFERROR(VLOOKUP(C130,'03_TCT MAQUEDA'!$F$6:$T$36,15,FALSE),"")</f>
        <v/>
      </c>
      <c r="N130" s="138" t="e">
        <f t="shared" si="109"/>
        <v>#VALUE!</v>
      </c>
      <c r="O130" s="135" t="str">
        <f>IFERROR(VLOOKUP(C130,'04_RALLYE CAM'!$F$6:$R$36,13,FALSE),"")</f>
        <v/>
      </c>
      <c r="P130" s="135" t="str">
        <f>IFERROR(VLOOKUP(C130,'04_RALLYE CAM'!$F$6:$T$36,15,FALSE),"")</f>
        <v/>
      </c>
      <c r="Q130" s="138" t="e">
        <f t="shared" si="110"/>
        <v>#VALUE!</v>
      </c>
      <c r="R130" s="135" t="str">
        <f>IFERROR(VLOOKUP(C130,'05_RS NAVALCARNERO'!$F$6:$R$28,13,FALSE),"")</f>
        <v/>
      </c>
      <c r="S130" s="135" t="str">
        <f>IFERROR(VLOOKUP(C130,'05_RS NAVALCARNERO'!$F$6:$T$28,15,FALSE),"")</f>
        <v/>
      </c>
      <c r="T130" s="138" t="e">
        <f t="shared" si="111"/>
        <v>#VALUE!</v>
      </c>
      <c r="U130" s="135" t="str">
        <f>IFERROR(VLOOKUP(C130,'06_TCT NUEVO BAZTÁN'!$F$6:$R$28,13,FALSE),"")</f>
        <v/>
      </c>
      <c r="V130" s="135" t="str">
        <f>IFERROR(VLOOKUP(C130,'06_TCT NUEVO BAZTÁN'!$F$6:$T$28,15,FALSE),"")</f>
        <v/>
      </c>
      <c r="W130" s="138" t="e">
        <f t="shared" si="112"/>
        <v>#VALUE!</v>
      </c>
      <c r="X130" s="139" t="e">
        <f t="shared" si="113"/>
        <v>#VALUE!</v>
      </c>
      <c r="Y130" s="140" t="str">
        <f t="shared" si="114"/>
        <v>Sí</v>
      </c>
      <c r="Z130" s="141">
        <f t="shared" si="115"/>
        <v>6</v>
      </c>
      <c r="AB130" s="262" t="str">
        <f>IFERROR(VLOOKUP(C130,Tabla15[[Piloto2]:[Puntos clase5]],4, FALSE), " ")</f>
        <v>4RM</v>
      </c>
      <c r="AC130" s="2"/>
    </row>
    <row r="131" spans="2:39" ht="12.75" customHeight="1" x14ac:dyDescent="0.3">
      <c r="B131" s="133">
        <v>17</v>
      </c>
      <c r="C131" s="142" t="s">
        <v>629</v>
      </c>
      <c r="D131" s="482">
        <v>2</v>
      </c>
      <c r="E131" s="482" t="str">
        <f>LEFT(AB131,LEN(AB131)-2)</f>
        <v>2</v>
      </c>
      <c r="F131" s="135" t="str">
        <f>IFERROR(VLOOKUP(C131,'01_RS ALCARRIA'!$F$6:$R$36,13,FALSE),"")</f>
        <v/>
      </c>
      <c r="G131" s="135" t="str">
        <f>IFERROR(VLOOKUP(C131,'01_RS ALCARRIA'!$F$6:$T$36,15,FALSE),"")</f>
        <v/>
      </c>
      <c r="H131" s="138" t="e">
        <f t="shared" si="107"/>
        <v>#VALUE!</v>
      </c>
      <c r="I131" s="135" t="str">
        <f>IFERROR(VLOOKUP(C131,'02_TCT GUADAMUR'!$F$6:$R$36,13,FALSE),"")</f>
        <v/>
      </c>
      <c r="J131" s="135" t="str">
        <f>IFERROR(VLOOKUP(C131,'02_TCT GUADAMUR'!$F$6:$T$36,15,FALSE),"")</f>
        <v/>
      </c>
      <c r="K131" s="138" t="e">
        <f t="shared" si="108"/>
        <v>#VALUE!</v>
      </c>
      <c r="L131" s="135">
        <f>IFERROR(VLOOKUP(C131,'03_TCT MAQUEDA'!$F$6:$R$36,13,FALSE),"")</f>
        <v>0</v>
      </c>
      <c r="M131" s="135">
        <f>IFERROR(VLOOKUP(C131,'03_TCT MAQUEDA'!$F$6:$T$36,15,FALSE),"")</f>
        <v>5</v>
      </c>
      <c r="N131" s="138">
        <f t="shared" si="109"/>
        <v>5</v>
      </c>
      <c r="O131" s="135" t="str">
        <f>IFERROR(VLOOKUP(C131,'04_RALLYE CAM'!$F$6:$R$36,13,FALSE),"")</f>
        <v/>
      </c>
      <c r="P131" s="135" t="str">
        <f>IFERROR(VLOOKUP(C131,'04_RALLYE CAM'!$F$6:$T$36,15,FALSE),"")</f>
        <v/>
      </c>
      <c r="Q131" s="138" t="e">
        <f t="shared" si="110"/>
        <v>#VALUE!</v>
      </c>
      <c r="R131" s="135" t="str">
        <f>IFERROR(VLOOKUP(C131,'05_RS NAVALCARNERO'!$F$6:$R$28,13,FALSE),"")</f>
        <v/>
      </c>
      <c r="S131" s="135" t="str">
        <f>IFERROR(VLOOKUP(C131,'05_RS NAVALCARNERO'!$F$6:$T$28,15,FALSE),"")</f>
        <v/>
      </c>
      <c r="T131" s="138" t="e">
        <f t="shared" si="111"/>
        <v>#VALUE!</v>
      </c>
      <c r="U131" s="135" t="str">
        <f>IFERROR(VLOOKUP(C131,'06_TCT NUEVO BAZTÁN'!$F$6:$R$28,13,FALSE),"")</f>
        <v/>
      </c>
      <c r="V131" s="135" t="str">
        <f>IFERROR(VLOOKUP(C131,'06_TCT NUEVO BAZTÁN'!$F$6:$T$28,15,FALSE),"")</f>
        <v/>
      </c>
      <c r="W131" s="138" t="e">
        <f t="shared" si="112"/>
        <v>#VALUE!</v>
      </c>
      <c r="X131" s="139" t="e">
        <f t="shared" si="113"/>
        <v>#VALUE!</v>
      </c>
      <c r="Y131" s="140" t="str">
        <f t="shared" si="114"/>
        <v>Sí</v>
      </c>
      <c r="Z131" s="141">
        <f t="shared" si="115"/>
        <v>6</v>
      </c>
      <c r="AA131" s="121"/>
      <c r="AB131" s="262" t="str">
        <f>IFERROR(VLOOKUP(C131,Tabla15[[Piloto2]:[Puntos clase5]],4, FALSE), " ")</f>
        <v>2RM</v>
      </c>
      <c r="AC131" s="8" t="s">
        <v>8</v>
      </c>
      <c r="AD131" s="8">
        <v>1</v>
      </c>
      <c r="AE131" s="8">
        <v>2</v>
      </c>
      <c r="AF131" s="8">
        <v>3</v>
      </c>
      <c r="AG131" s="8">
        <v>4</v>
      </c>
      <c r="AH131" s="8">
        <v>5</v>
      </c>
      <c r="AI131" s="8"/>
      <c r="AJ131" s="8"/>
      <c r="AK131" s="8"/>
      <c r="AL131" s="8"/>
      <c r="AM131" s="8" t="s">
        <v>9</v>
      </c>
    </row>
    <row r="132" spans="2:39" ht="12.75" customHeight="1" x14ac:dyDescent="0.3">
      <c r="B132" s="133">
        <v>17</v>
      </c>
      <c r="C132" s="142" t="s">
        <v>631</v>
      </c>
      <c r="D132" s="482">
        <v>5</v>
      </c>
      <c r="E132" s="482" t="str">
        <f t="shared" si="106"/>
        <v>2</v>
      </c>
      <c r="F132" s="135" t="str">
        <f>IFERROR(VLOOKUP(C132,'01_RS ALCARRIA'!$F$6:$R$36,13,FALSE),"")</f>
        <v/>
      </c>
      <c r="G132" s="135" t="str">
        <f>IFERROR(VLOOKUP(C132,'01_RS ALCARRIA'!$F$6:$T$36,15,FALSE),"")</f>
        <v/>
      </c>
      <c r="H132" s="138" t="e">
        <f t="shared" si="107"/>
        <v>#VALUE!</v>
      </c>
      <c r="I132" s="135">
        <f>IFERROR(VLOOKUP(C132,'02_TCT GUADAMUR'!$F$6:$R$36,13,FALSE),"")</f>
        <v>0</v>
      </c>
      <c r="J132" s="135">
        <f>IFERROR(VLOOKUP(C132,'02_TCT GUADAMUR'!$F$6:$T$36,15,FALSE),"")</f>
        <v>6</v>
      </c>
      <c r="K132" s="138">
        <f t="shared" si="108"/>
        <v>6</v>
      </c>
      <c r="L132" s="135">
        <f>IFERROR(VLOOKUP(C132,'03_TCT MAQUEDA'!$F$6:$R$36,13,FALSE),"")</f>
        <v>10</v>
      </c>
      <c r="M132" s="284">
        <f>IFERROR(VLOOKUP(C132,'03_TCT MAQUEDA'!$F$6:$T$36,15,FALSE),"")/2</f>
        <v>5</v>
      </c>
      <c r="N132" s="138">
        <f t="shared" si="109"/>
        <v>15</v>
      </c>
      <c r="O132" s="135" t="str">
        <f>IFERROR(VLOOKUP(C132,'04_RALLYE CAM'!$F$6:$R$36,13,FALSE),"")</f>
        <v/>
      </c>
      <c r="P132" s="135" t="str">
        <f>IFERROR(VLOOKUP(C132,'04_RALLYE CAM'!$F$6:$T$36,15,FALSE),"")</f>
        <v/>
      </c>
      <c r="Q132" s="138" t="e">
        <f t="shared" si="110"/>
        <v>#VALUE!</v>
      </c>
      <c r="R132" s="135" t="str">
        <f>IFERROR(VLOOKUP(C132,'05_RS NAVALCARNERO'!$F$6:$R$28,13,FALSE),"")</f>
        <v/>
      </c>
      <c r="S132" s="135" t="str">
        <f>IFERROR(VLOOKUP(C132,'05_RS NAVALCARNERO'!$F$6:$T$28,15,FALSE),"")</f>
        <v/>
      </c>
      <c r="T132" s="138" t="e">
        <f t="shared" si="111"/>
        <v>#VALUE!</v>
      </c>
      <c r="U132" s="135" t="str">
        <f>IFERROR(VLOOKUP(C132,'06_TCT NUEVO BAZTÁN'!$F$6:$R$28,13,FALSE),"")</f>
        <v/>
      </c>
      <c r="V132" s="135" t="str">
        <f>IFERROR(VLOOKUP(C132,'06_TCT NUEVO BAZTÁN'!$F$6:$T$28,15,FALSE),"")</f>
        <v/>
      </c>
      <c r="W132" s="138" t="e">
        <f t="shared" si="112"/>
        <v>#VALUE!</v>
      </c>
      <c r="X132" s="139" t="e">
        <f t="shared" si="113"/>
        <v>#VALUE!</v>
      </c>
      <c r="Y132" s="140" t="str">
        <f t="shared" si="114"/>
        <v>Sí</v>
      </c>
      <c r="Z132" s="141">
        <f t="shared" si="115"/>
        <v>6</v>
      </c>
      <c r="AA132" s="5"/>
      <c r="AB132" s="262" t="str">
        <f>IFERROR(VLOOKUP(C132,Tabla15[[Piloto2]:[Puntos clase5]],4, FALSE), " ")</f>
        <v>2RM</v>
      </c>
      <c r="AC132" s="8">
        <f>COUNTA(C6:C25)+COUNTA(Z248:Z250)+COUNTA(Z276:Z277)+COUNTA(Z305:Z306)</f>
        <v>27</v>
      </c>
      <c r="AD132" s="8">
        <f>COUNTIF($Z$6:$Z$25,AD131)+COUNTIF($Z$248:$Z$250,AD131)+COUNTIF($Z$276:$Z$277,AD131)+COUNTIF($Z$305:$Z$306,AD131)</f>
        <v>0</v>
      </c>
      <c r="AE132" s="8">
        <f>COUNTIF($Z$6:$Z$25,AE131)+COUNTIF($Z$248:$Z$250,AE131)+COUNTIF($Z$276:$Z$277,AE131)+COUNTIF($Z$305:$Z$306,AE131)</f>
        <v>0</v>
      </c>
      <c r="AF132" s="8">
        <f>COUNTIF($Z$6:$Z$25,AF131)+COUNTIF($Z$248:$Z$250,AF131)+COUNTIF($Z$276:$Z$277,AF131)+COUNTIF($Z$305:$Z$306,AF131)</f>
        <v>0</v>
      </c>
      <c r="AG132" s="8">
        <f>COUNTIF($Z$6:$Z$25,AG131)+COUNTIF($Z$248:$Z$250,AG131)+COUNTIF($Z$276:$Z$277,AG131)+COUNTIF($Z$305:$Z$306,AG131)</f>
        <v>0</v>
      </c>
      <c r="AH132" s="8">
        <f>COUNTIF($Z$6:$Z$25,AH131)+COUNTIF($Z$248:$Z$250,AH131)+COUNTIF($Z$276:$Z$277,AH131)+COUNTIF($Z$305:$Z$306,AH131)</f>
        <v>2</v>
      </c>
      <c r="AI132" s="8"/>
      <c r="AJ132" s="8"/>
      <c r="AK132" s="8"/>
      <c r="AL132" s="9"/>
      <c r="AM132" s="8">
        <f>SUM(AD132:AJ132)</f>
        <v>2</v>
      </c>
    </row>
    <row r="133" spans="2:39" ht="12.75" customHeight="1" x14ac:dyDescent="0.3">
      <c r="B133" s="133">
        <v>17</v>
      </c>
      <c r="C133" s="142" t="s">
        <v>633</v>
      </c>
      <c r="D133" s="482">
        <v>3</v>
      </c>
      <c r="E133" s="482">
        <v>2</v>
      </c>
      <c r="F133" s="135" t="str">
        <f>IFERROR(VLOOKUP(C133,'01_RS ALCARRIA'!$F$6:$R$36,13,FALSE),"")</f>
        <v/>
      </c>
      <c r="G133" s="135" t="str">
        <f>IFERROR(VLOOKUP(C133,'01_RS ALCARRIA'!$F$6:$T$36,15,FALSE),"")</f>
        <v/>
      </c>
      <c r="H133" s="138" t="e">
        <f t="shared" si="107"/>
        <v>#VALUE!</v>
      </c>
      <c r="I133" s="135" t="str">
        <f>IFERROR(VLOOKUP(C133,'02_TCT GUADAMUR'!$F$6:$R$36,13,FALSE),"")</f>
        <v/>
      </c>
      <c r="J133" s="135" t="str">
        <f>IFERROR(VLOOKUP(C133,'02_TCT GUADAMUR'!$F$6:$T$36,15,FALSE),"")</f>
        <v/>
      </c>
      <c r="K133" s="138" t="e">
        <f t="shared" si="108"/>
        <v>#VALUE!</v>
      </c>
      <c r="L133" s="135">
        <f>IFERROR(VLOOKUP(C133,'03_TCT MAQUEDA'!$F$6:$R$36,13,FALSE),"")</f>
        <v>2</v>
      </c>
      <c r="M133" s="135">
        <f>IFERROR(VLOOKUP(C133,'03_TCT MAQUEDA'!$F$6:$T$36,15,FALSE),"")</f>
        <v>5</v>
      </c>
      <c r="N133" s="138">
        <f t="shared" si="109"/>
        <v>7</v>
      </c>
      <c r="O133" s="135" t="str">
        <f>IFERROR(VLOOKUP(C133,'04_RALLYE CAM'!$F$6:$R$36,13,FALSE),"")</f>
        <v/>
      </c>
      <c r="P133" s="135" t="str">
        <f>IFERROR(VLOOKUP(C133,'04_RALLYE CAM'!$F$6:$T$36,15,FALSE),"")</f>
        <v/>
      </c>
      <c r="Q133" s="138" t="e">
        <f t="shared" si="110"/>
        <v>#VALUE!</v>
      </c>
      <c r="R133" s="135" t="str">
        <f>IFERROR(VLOOKUP(C133,'05_RS NAVALCARNERO'!$F$6:$R$28,13,FALSE),"")</f>
        <v/>
      </c>
      <c r="S133" s="135" t="str">
        <f>IFERROR(VLOOKUP(C133,'05_RS NAVALCARNERO'!$F$6:$T$28,15,FALSE),"")</f>
        <v/>
      </c>
      <c r="T133" s="138" t="e">
        <f t="shared" si="111"/>
        <v>#VALUE!</v>
      </c>
      <c r="U133" s="135" t="str">
        <f>IFERROR(VLOOKUP(C133,'06_TCT NUEVO BAZTÁN'!$F$6:$R$28,13,FALSE),"")</f>
        <v/>
      </c>
      <c r="V133" s="135" t="str">
        <f>IFERROR(VLOOKUP(C133,'06_TCT NUEVO BAZTÁN'!$F$6:$T$28,15,FALSE),"")</f>
        <v/>
      </c>
      <c r="W133" s="138" t="e">
        <f t="shared" si="112"/>
        <v>#VALUE!</v>
      </c>
      <c r="X133" s="139" t="e">
        <f t="shared" si="113"/>
        <v>#VALUE!</v>
      </c>
      <c r="Y133" s="140" t="str">
        <f t="shared" si="114"/>
        <v>Sí</v>
      </c>
      <c r="Z133" s="141">
        <f t="shared" si="115"/>
        <v>6</v>
      </c>
      <c r="AA133" s="5"/>
      <c r="AB133" s="262" t="str">
        <f>IFERROR(VLOOKUP(C133,Tabla15[[Piloto2]:[Puntos clase5]],4, FALSE), " ")</f>
        <v>2RM</v>
      </c>
      <c r="AC133" s="31"/>
      <c r="AD133" s="32"/>
      <c r="AE133" s="32"/>
      <c r="AF133" s="32"/>
      <c r="AG133" s="32"/>
      <c r="AH133" s="32"/>
      <c r="AI133" s="32"/>
      <c r="AJ133" s="528" t="s">
        <v>32</v>
      </c>
      <c r="AK133" s="529"/>
      <c r="AL133" s="530"/>
      <c r="AM133" s="33" t="e">
        <f>#REF!/AM132</f>
        <v>#REF!</v>
      </c>
    </row>
    <row r="134" spans="2:39" ht="12.75" customHeight="1" x14ac:dyDescent="0.3">
      <c r="B134" s="133">
        <v>20</v>
      </c>
      <c r="C134" s="134" t="s">
        <v>636</v>
      </c>
      <c r="D134" s="482">
        <v>5</v>
      </c>
      <c r="E134" s="482" t="str">
        <f>LEFT(AB134,LEN(AB134)-2)</f>
        <v>2</v>
      </c>
      <c r="F134" s="135" t="str">
        <f>IFERROR(VLOOKUP(C134,'01_RS ALCARRIA'!$F$6:$R$36,13,FALSE),"")</f>
        <v/>
      </c>
      <c r="G134" s="135" t="str">
        <f>IFERROR(VLOOKUP(C134,'01_RS ALCARRIA'!$F$6:$T$36,15,FALSE),"")</f>
        <v/>
      </c>
      <c r="H134" s="138" t="e">
        <f t="shared" si="107"/>
        <v>#VALUE!</v>
      </c>
      <c r="I134" s="135" t="str">
        <f>IFERROR(VLOOKUP(C134,'02_TCT GUADAMUR'!$F$6:$R$36,13,FALSE),"")</f>
        <v/>
      </c>
      <c r="J134" s="135" t="str">
        <f>IFERROR(VLOOKUP(C134,'02_TCT GUADAMUR'!$F$6:$T$36,15,FALSE),"")</f>
        <v/>
      </c>
      <c r="K134" s="138" t="e">
        <f t="shared" si="108"/>
        <v>#VALUE!</v>
      </c>
      <c r="L134" s="135" t="str">
        <f>IFERROR(VLOOKUP(C134,'03_TCT MAQUEDA'!$F$6:$R$36,13,FALSE),"")</f>
        <v/>
      </c>
      <c r="M134" s="135" t="str">
        <f>IFERROR(VLOOKUP(C134,'03_TCT MAQUEDA'!$F$6:$T$36,15,FALSE),"")</f>
        <v/>
      </c>
      <c r="N134" s="138" t="e">
        <f t="shared" si="109"/>
        <v>#VALUE!</v>
      </c>
      <c r="O134" s="135" t="str">
        <f>IFERROR(VLOOKUP(C134,'04_RALLYE CAM'!$F$6:$R$36,13,FALSE),"")</f>
        <v/>
      </c>
      <c r="P134" s="135" t="str">
        <f>IFERROR(VLOOKUP(C134,'04_RALLYE CAM'!$F$6:$T$36,15,FALSE),"")</f>
        <v/>
      </c>
      <c r="Q134" s="138" t="e">
        <f t="shared" si="110"/>
        <v>#VALUE!</v>
      </c>
      <c r="R134" s="135" t="str">
        <f>IFERROR(VLOOKUP(C134,'05_RS NAVALCARNERO'!$F$6:$R$28,13,FALSE),"")</f>
        <v/>
      </c>
      <c r="S134" s="135" t="str">
        <f>IFERROR(VLOOKUP(C134,'05_RS NAVALCARNERO'!$F$6:$T$28,15,FALSE),"")</f>
        <v/>
      </c>
      <c r="T134" s="138" t="e">
        <f t="shared" si="111"/>
        <v>#VALUE!</v>
      </c>
      <c r="U134" s="135" t="str">
        <f>IFERROR(VLOOKUP(C134,'06_TCT NUEVO BAZTÁN'!$F$6:$R$28,13,FALSE),"")</f>
        <v/>
      </c>
      <c r="V134" s="135" t="str">
        <f>IFERROR(VLOOKUP(C134,'06_TCT NUEVO BAZTÁN'!$F$6:$T$28,15,FALSE),"")</f>
        <v/>
      </c>
      <c r="W134" s="138" t="e">
        <f t="shared" si="112"/>
        <v>#VALUE!</v>
      </c>
      <c r="X134" s="139" t="e">
        <f t="shared" si="113"/>
        <v>#VALUE!</v>
      </c>
      <c r="Y134" s="140" t="str">
        <f t="shared" si="114"/>
        <v>Sí</v>
      </c>
      <c r="Z134" s="141">
        <f t="shared" si="115"/>
        <v>6</v>
      </c>
      <c r="AA134" s="148"/>
      <c r="AB134" s="262" t="str">
        <f>IFERROR(VLOOKUP(C134,Tabla15[[Piloto2]:[Puntos clase5]],4, FALSE), " ")</f>
        <v>2RM</v>
      </c>
    </row>
    <row r="135" spans="2:39" ht="12.75" customHeight="1" x14ac:dyDescent="0.3">
      <c r="B135" s="133">
        <v>21</v>
      </c>
      <c r="C135" s="134" t="s">
        <v>638</v>
      </c>
      <c r="D135" s="482" t="s">
        <v>359</v>
      </c>
      <c r="E135" s="482" t="str">
        <f>LEFT(AB135,LEN(AB135)-2)</f>
        <v>2</v>
      </c>
      <c r="F135" s="135" t="str">
        <f>IFERROR(VLOOKUP(C135,'01_RS ALCARRIA'!$F$6:$R$36,13,FALSE),"")</f>
        <v/>
      </c>
      <c r="G135" s="135" t="str">
        <f>IFERROR(VLOOKUP(C135,'01_RS ALCARRIA'!$F$6:$T$36,15,FALSE),"")</f>
        <v/>
      </c>
      <c r="H135" s="138" t="e">
        <f t="shared" si="107"/>
        <v>#VALUE!</v>
      </c>
      <c r="I135" s="135">
        <f>IFERROR(VLOOKUP(C135,'02_TCT GUADAMUR'!$F$6:$R$36,13,FALSE),"")</f>
        <v>0</v>
      </c>
      <c r="J135" s="135">
        <f>IFERROR(VLOOKUP(C135,'02_TCT GUADAMUR'!$F$6:$T$36,15,FALSE),"")</f>
        <v>5</v>
      </c>
      <c r="K135" s="138">
        <f t="shared" si="108"/>
        <v>5</v>
      </c>
      <c r="L135" s="135">
        <f>IFERROR(VLOOKUP(C135,'03_TCT MAQUEDA'!$F$6:$R$36,13,FALSE),"")</f>
        <v>6</v>
      </c>
      <c r="M135" s="135">
        <f>IFERROR(VLOOKUP(C135,'03_TCT MAQUEDA'!$F$6:$T$36,15,FALSE),"")</f>
        <v>10</v>
      </c>
      <c r="N135" s="138">
        <f t="shared" si="109"/>
        <v>16</v>
      </c>
      <c r="O135" s="135" t="str">
        <f>IFERROR(VLOOKUP(C135,'04_RALLYE CAM'!$F$6:$R$36,13,FALSE),"")</f>
        <v/>
      </c>
      <c r="P135" s="135" t="str">
        <f>IFERROR(VLOOKUP(C135,'04_RALLYE CAM'!$F$6:$T$36,15,FALSE),"")</f>
        <v/>
      </c>
      <c r="Q135" s="138" t="e">
        <f t="shared" si="110"/>
        <v>#VALUE!</v>
      </c>
      <c r="R135" s="135" t="str">
        <f>IFERROR(VLOOKUP(C135,'05_RS NAVALCARNERO'!$F$6:$R$28,13,FALSE),"")</f>
        <v/>
      </c>
      <c r="S135" s="135" t="str">
        <f>IFERROR(VLOOKUP(C135,'05_RS NAVALCARNERO'!$F$6:$T$28,15,FALSE),"")</f>
        <v/>
      </c>
      <c r="T135" s="138" t="e">
        <f t="shared" si="111"/>
        <v>#VALUE!</v>
      </c>
      <c r="U135" s="135" t="str">
        <f>IFERROR(VLOOKUP(C135,'06_TCT NUEVO BAZTÁN'!$F$6:$R$28,13,FALSE),"")</f>
        <v/>
      </c>
      <c r="V135" s="135" t="str">
        <f>IFERROR(VLOOKUP(C135,'06_TCT NUEVO BAZTÁN'!$F$6:$T$28,15,FALSE),"")</f>
        <v/>
      </c>
      <c r="W135" s="138" t="e">
        <f t="shared" si="112"/>
        <v>#VALUE!</v>
      </c>
      <c r="X135" s="139" t="e">
        <f t="shared" si="113"/>
        <v>#VALUE!</v>
      </c>
      <c r="Y135" s="140" t="str">
        <f t="shared" si="114"/>
        <v>Sí</v>
      </c>
      <c r="Z135" s="141">
        <f t="shared" si="115"/>
        <v>6</v>
      </c>
      <c r="AA135" s="148"/>
      <c r="AB135" s="262" t="str">
        <f>IFERROR(VLOOKUP(C135,Tabla15[[Piloto2]:[Puntos clase5]],4, FALSE), " ")</f>
        <v>2RM</v>
      </c>
    </row>
    <row r="136" spans="2:39" ht="12.75" customHeight="1" x14ac:dyDescent="0.3">
      <c r="B136" s="133">
        <v>22</v>
      </c>
      <c r="C136" s="142" t="s">
        <v>669</v>
      </c>
      <c r="D136" s="482">
        <v>2</v>
      </c>
      <c r="E136" s="482">
        <v>2</v>
      </c>
      <c r="F136" s="135" t="str">
        <f>IFERROR(VLOOKUP(C136,'01_RS ALCARRIA'!$F$6:$R$36,13,FALSE),"")</f>
        <v/>
      </c>
      <c r="G136" s="135" t="str">
        <f>IFERROR(VLOOKUP(C136,'01_RS ALCARRIA'!$F$6:$T$36,15,FALSE),"")</f>
        <v/>
      </c>
      <c r="H136" s="138" t="e">
        <f t="shared" si="107"/>
        <v>#VALUE!</v>
      </c>
      <c r="I136" s="135">
        <f>IFERROR(VLOOKUP(C136,'02_TCT GUADAMUR'!$F$6:$R$36,13,FALSE),"")</f>
        <v>20</v>
      </c>
      <c r="J136" s="135">
        <f>IFERROR(VLOOKUP(C136,'02_TCT GUADAMUR'!$F$6:$T$36,15,FALSE),"")</f>
        <v>8</v>
      </c>
      <c r="K136" s="138">
        <f t="shared" si="108"/>
        <v>28</v>
      </c>
      <c r="L136" s="135">
        <f>IFERROR(VLOOKUP(C136,'03_TCT MAQUEDA'!$F$6:$R$36,13,FALSE),"")</f>
        <v>12</v>
      </c>
      <c r="M136" s="135">
        <f>IFERROR(VLOOKUP(C136,'03_TCT MAQUEDA'!$F$6:$T$36,15,FALSE),"")</f>
        <v>6</v>
      </c>
      <c r="N136" s="138">
        <f t="shared" si="109"/>
        <v>18</v>
      </c>
      <c r="O136" s="135" t="str">
        <f>IFERROR(VLOOKUP(C136,'04_RALLYE CAM'!$F$6:$R$36,13,FALSE),"")</f>
        <v/>
      </c>
      <c r="P136" s="135" t="str">
        <f>IFERROR(VLOOKUP(C136,'04_RALLYE CAM'!$F$6:$T$36,15,FALSE),"")</f>
        <v/>
      </c>
      <c r="Q136" s="138" t="e">
        <f t="shared" si="110"/>
        <v>#VALUE!</v>
      </c>
      <c r="R136" s="135" t="str">
        <f>IFERROR(VLOOKUP(C136,'05_RS NAVALCARNERO'!$F$6:$R$28,13,FALSE),"")</f>
        <v/>
      </c>
      <c r="S136" s="135" t="str">
        <f>IFERROR(VLOOKUP(C136,'05_RS NAVALCARNERO'!$F$6:$T$28,15,FALSE),"")</f>
        <v/>
      </c>
      <c r="T136" s="138" t="e">
        <f t="shared" si="111"/>
        <v>#VALUE!</v>
      </c>
      <c r="U136" s="135" t="str">
        <f>IFERROR(VLOOKUP(C136,'06_TCT NUEVO BAZTÁN'!$F$6:$R$28,13,FALSE),"")</f>
        <v/>
      </c>
      <c r="V136" s="135" t="str">
        <f>IFERROR(VLOOKUP(C136,'06_TCT NUEVO BAZTÁN'!$F$6:$T$28,15,FALSE),"")</f>
        <v/>
      </c>
      <c r="W136" s="138" t="e">
        <f t="shared" si="112"/>
        <v>#VALUE!</v>
      </c>
      <c r="X136" s="139" t="e">
        <f t="shared" si="113"/>
        <v>#VALUE!</v>
      </c>
      <c r="Y136" s="140" t="str">
        <f t="shared" si="114"/>
        <v>Sí</v>
      </c>
      <c r="Z136" s="141">
        <f t="shared" si="115"/>
        <v>6</v>
      </c>
      <c r="AA136" s="148"/>
      <c r="AB136" s="262" t="str">
        <f>IFERROR(VLOOKUP(C136,Tabla15[[Piloto2]:[Puntos clase5]],4, FALSE), " ")</f>
        <v xml:space="preserve"> </v>
      </c>
    </row>
    <row r="137" spans="2:39" ht="12.75" customHeight="1" x14ac:dyDescent="0.3">
      <c r="B137" s="133">
        <v>23</v>
      </c>
      <c r="C137" s="142" t="s">
        <v>670</v>
      </c>
      <c r="D137" s="482">
        <v>4</v>
      </c>
      <c r="E137" s="482">
        <v>2</v>
      </c>
      <c r="F137" s="135" t="str">
        <f>IFERROR(VLOOKUP(C137,'01_RS ALCARRIA'!$F$6:$R$36,13,FALSE),"")</f>
        <v/>
      </c>
      <c r="G137" s="135" t="str">
        <f>IFERROR(VLOOKUP(C137,'01_RS ALCARRIA'!$F$6:$T$36,15,FALSE),"")</f>
        <v/>
      </c>
      <c r="H137" s="138" t="e">
        <f t="shared" si="107"/>
        <v>#VALUE!</v>
      </c>
      <c r="I137" s="135">
        <f>IFERROR(VLOOKUP(C137,'02_TCT GUADAMUR'!$F$6:$R$36,13,FALSE),"")</f>
        <v>8</v>
      </c>
      <c r="J137" s="135">
        <f>IFERROR(VLOOKUP(C137,'02_TCT GUADAMUR'!$F$6:$T$36,15,FALSE),"")</f>
        <v>10</v>
      </c>
      <c r="K137" s="138">
        <f t="shared" si="108"/>
        <v>18</v>
      </c>
      <c r="L137" s="135" t="str">
        <f>IFERROR(VLOOKUP(C137,'03_TCT MAQUEDA'!$F$6:$R$36,13,FALSE),"")</f>
        <v/>
      </c>
      <c r="M137" s="135" t="str">
        <f>IFERROR(VLOOKUP(C137,'03_TCT MAQUEDA'!$F$6:$T$36,15,FALSE),"")</f>
        <v/>
      </c>
      <c r="N137" s="138" t="e">
        <f t="shared" si="109"/>
        <v>#VALUE!</v>
      </c>
      <c r="O137" s="135" t="str">
        <f>IFERROR(VLOOKUP(C137,'04_RALLYE CAM'!$F$6:$R$36,13,FALSE),"")</f>
        <v/>
      </c>
      <c r="P137" s="135" t="str">
        <f>IFERROR(VLOOKUP(C137,'04_RALLYE CAM'!$F$6:$T$36,15,FALSE),"")</f>
        <v/>
      </c>
      <c r="Q137" s="138" t="e">
        <f t="shared" si="110"/>
        <v>#VALUE!</v>
      </c>
      <c r="R137" s="135" t="str">
        <f>IFERROR(VLOOKUP(C137,'05_RS NAVALCARNERO'!$F$6:$R$28,13,FALSE),"")</f>
        <v/>
      </c>
      <c r="S137" s="135" t="str">
        <f>IFERROR(VLOOKUP(C137,'05_RS NAVALCARNERO'!$F$6:$T$28,15,FALSE),"")</f>
        <v/>
      </c>
      <c r="T137" s="138" t="e">
        <f t="shared" si="111"/>
        <v>#VALUE!</v>
      </c>
      <c r="U137" s="135" t="str">
        <f>IFERROR(VLOOKUP(C137,'06_TCT NUEVO BAZTÁN'!$F$6:$R$28,13,FALSE),"")</f>
        <v/>
      </c>
      <c r="V137" s="135" t="str">
        <f>IFERROR(VLOOKUP(C137,'06_TCT NUEVO BAZTÁN'!$F$6:$T$28,15,FALSE),"")</f>
        <v/>
      </c>
      <c r="W137" s="138" t="e">
        <f t="shared" si="112"/>
        <v>#VALUE!</v>
      </c>
      <c r="X137" s="139" t="e">
        <f t="shared" si="113"/>
        <v>#VALUE!</v>
      </c>
      <c r="Y137" s="140" t="str">
        <f t="shared" si="114"/>
        <v>Sí</v>
      </c>
      <c r="Z137" s="141">
        <f t="shared" si="115"/>
        <v>6</v>
      </c>
      <c r="AA137" s="148"/>
      <c r="AB137" s="262" t="str">
        <f>IFERROR(VLOOKUP(C137,Tabla15[[Piloto2]:[Puntos clase5]],4, FALSE), " ")</f>
        <v xml:space="preserve"> </v>
      </c>
    </row>
    <row r="138" spans="2:39" ht="12.75" customHeight="1" x14ac:dyDescent="0.3">
      <c r="B138" s="133">
        <v>24</v>
      </c>
      <c r="C138" s="142" t="s">
        <v>672</v>
      </c>
      <c r="D138" s="482">
        <v>3</v>
      </c>
      <c r="E138" s="482">
        <v>2</v>
      </c>
      <c r="F138" s="135" t="str">
        <f>IFERROR(VLOOKUP(C138,'01_RS ALCARRIA'!$F$6:$R$36,13,FALSE),"")</f>
        <v/>
      </c>
      <c r="G138" s="135" t="str">
        <f>IFERROR(VLOOKUP(C138,'01_RS ALCARRIA'!$F$6:$T$36,15,FALSE),"")</f>
        <v/>
      </c>
      <c r="H138" s="138" t="e">
        <f t="shared" si="107"/>
        <v>#VALUE!</v>
      </c>
      <c r="I138" s="135">
        <f>IFERROR(VLOOKUP(C138,'02_TCT GUADAMUR'!$F$6:$R$36,13,FALSE),"")</f>
        <v>6</v>
      </c>
      <c r="J138" s="135">
        <f>IFERROR(VLOOKUP(C138,'02_TCT GUADAMUR'!$F$6:$T$36,15,FALSE),"")</f>
        <v>8</v>
      </c>
      <c r="K138" s="138">
        <f t="shared" si="108"/>
        <v>14</v>
      </c>
      <c r="L138" s="135">
        <v>0</v>
      </c>
      <c r="M138" s="135">
        <v>0</v>
      </c>
      <c r="N138" s="138">
        <f t="shared" si="109"/>
        <v>0</v>
      </c>
      <c r="O138" s="135" t="str">
        <f>IFERROR(VLOOKUP(C138,'04_RALLYE CAM'!$F$6:$R$36,13,FALSE),"")</f>
        <v/>
      </c>
      <c r="P138" s="135" t="str">
        <f>IFERROR(VLOOKUP(C138,'04_RALLYE CAM'!$F$6:$T$36,15,FALSE),"")</f>
        <v/>
      </c>
      <c r="Q138" s="138" t="e">
        <f t="shared" si="110"/>
        <v>#VALUE!</v>
      </c>
      <c r="R138" s="135" t="str">
        <f>IFERROR(VLOOKUP(C138,'05_RS NAVALCARNERO'!$F$6:$R$28,13,FALSE),"")</f>
        <v/>
      </c>
      <c r="S138" s="135" t="str">
        <f>IFERROR(VLOOKUP(C138,'05_RS NAVALCARNERO'!$F$6:$T$28,15,FALSE),"")</f>
        <v/>
      </c>
      <c r="T138" s="138" t="e">
        <f t="shared" si="111"/>
        <v>#VALUE!</v>
      </c>
      <c r="U138" s="135" t="str">
        <f>IFERROR(VLOOKUP(C138,'06_TCT NUEVO BAZTÁN'!$F$6:$R$28,13,FALSE),"")</f>
        <v/>
      </c>
      <c r="V138" s="135" t="str">
        <f>IFERROR(VLOOKUP(C138,'06_TCT NUEVO BAZTÁN'!$F$6:$T$28,15,FALSE),"")</f>
        <v/>
      </c>
      <c r="W138" s="138" t="e">
        <f t="shared" si="112"/>
        <v>#VALUE!</v>
      </c>
      <c r="X138" s="139" t="e">
        <f t="shared" si="113"/>
        <v>#VALUE!</v>
      </c>
      <c r="Y138" s="140" t="str">
        <f t="shared" si="114"/>
        <v>Sí</v>
      </c>
      <c r="Z138" s="141">
        <f t="shared" si="115"/>
        <v>6</v>
      </c>
      <c r="AA138" s="148"/>
      <c r="AB138" s="262" t="str">
        <f>IFERROR(VLOOKUP(C138,Tabla15[[Piloto2]:[Puntos clase5]],4, FALSE), " ")</f>
        <v xml:space="preserve"> </v>
      </c>
    </row>
    <row r="139" spans="2:39" ht="12.75" customHeight="1" x14ac:dyDescent="0.3">
      <c r="B139" s="133">
        <v>25</v>
      </c>
      <c r="C139" s="142" t="s">
        <v>673</v>
      </c>
      <c r="D139" s="482">
        <v>3</v>
      </c>
      <c r="E139" s="482">
        <v>2</v>
      </c>
      <c r="F139" s="135" t="str">
        <f>IFERROR(VLOOKUP(C139,'01_RS ALCARRIA'!$F$6:$R$36,13,FALSE),"")</f>
        <v/>
      </c>
      <c r="G139" s="135" t="str">
        <f>IFERROR(VLOOKUP(C139,'01_RS ALCARRIA'!$F$6:$T$36,15,FALSE),"")</f>
        <v/>
      </c>
      <c r="H139" s="138" t="e">
        <f t="shared" si="107"/>
        <v>#VALUE!</v>
      </c>
      <c r="I139" s="135">
        <f>IFERROR(VLOOKUP(C139,'02_TCT GUADAMUR'!$F$6:$R$36,13,FALSE),"")</f>
        <v>3</v>
      </c>
      <c r="J139" s="135">
        <f>IFERROR(VLOOKUP(C139,'02_TCT GUADAMUR'!$F$6:$T$36,15,FALSE),"")</f>
        <v>5</v>
      </c>
      <c r="K139" s="138">
        <f t="shared" si="108"/>
        <v>8</v>
      </c>
      <c r="L139" s="135" t="str">
        <f>IFERROR(VLOOKUP(C139,'03_TCT MAQUEDA'!$F$6:$R$36,13,FALSE),"")</f>
        <v/>
      </c>
      <c r="M139" s="135" t="str">
        <f>IFERROR(VLOOKUP(C139,'03_TCT MAQUEDA'!$F$6:$T$36,15,FALSE),"")</f>
        <v/>
      </c>
      <c r="N139" s="138" t="e">
        <f t="shared" si="109"/>
        <v>#VALUE!</v>
      </c>
      <c r="O139" s="135" t="str">
        <f>IFERROR(VLOOKUP(C139,'04_RALLYE CAM'!$F$6:$R$36,13,FALSE),"")</f>
        <v/>
      </c>
      <c r="P139" s="135" t="str">
        <f>IFERROR(VLOOKUP(C139,'04_RALLYE CAM'!$F$6:$T$36,15,FALSE),"")</f>
        <v/>
      </c>
      <c r="Q139" s="138" t="e">
        <f t="shared" si="110"/>
        <v>#VALUE!</v>
      </c>
      <c r="R139" s="135" t="str">
        <f>IFERROR(VLOOKUP(C139,'05_RS NAVALCARNERO'!$F$6:$R$28,13,FALSE),"")</f>
        <v/>
      </c>
      <c r="S139" s="135" t="str">
        <f>IFERROR(VLOOKUP(C139,'05_RS NAVALCARNERO'!$F$6:$T$28,15,FALSE),"")</f>
        <v/>
      </c>
      <c r="T139" s="138" t="e">
        <f t="shared" si="111"/>
        <v>#VALUE!</v>
      </c>
      <c r="U139" s="135" t="str">
        <f>IFERROR(VLOOKUP(C139,'06_TCT NUEVO BAZTÁN'!$F$6:$R$28,13,FALSE),"")</f>
        <v/>
      </c>
      <c r="V139" s="135" t="str">
        <f>IFERROR(VLOOKUP(C139,'06_TCT NUEVO BAZTÁN'!$F$6:$T$28,15,FALSE),"")</f>
        <v/>
      </c>
      <c r="W139" s="138" t="e">
        <f t="shared" si="112"/>
        <v>#VALUE!</v>
      </c>
      <c r="X139" s="139" t="e">
        <f t="shared" si="113"/>
        <v>#VALUE!</v>
      </c>
      <c r="Y139" s="140" t="str">
        <f t="shared" si="114"/>
        <v>Sí</v>
      </c>
      <c r="Z139" s="141">
        <f t="shared" si="115"/>
        <v>6</v>
      </c>
      <c r="AA139" s="148"/>
      <c r="AB139" s="262" t="str">
        <f>IFERROR(VLOOKUP(C139,Tabla15[[Piloto2]:[Puntos clase5]],4, FALSE), " ")</f>
        <v xml:space="preserve"> </v>
      </c>
    </row>
    <row r="140" spans="2:39" ht="12.75" customHeight="1" x14ac:dyDescent="0.3">
      <c r="B140" s="133">
        <v>26</v>
      </c>
      <c r="C140" s="142" t="s">
        <v>677</v>
      </c>
      <c r="D140" s="482">
        <v>4</v>
      </c>
      <c r="E140" s="482">
        <v>2</v>
      </c>
      <c r="F140" s="135" t="str">
        <f>IFERROR(VLOOKUP(C140,'01_RS ALCARRIA'!$F$6:$R$36,13,FALSE),"")</f>
        <v/>
      </c>
      <c r="G140" s="135" t="str">
        <f>IFERROR(VLOOKUP(C140,'01_RS ALCARRIA'!$F$6:$T$36,15,FALSE),"")</f>
        <v/>
      </c>
      <c r="H140" s="138" t="e">
        <f t="shared" si="107"/>
        <v>#VALUE!</v>
      </c>
      <c r="I140" s="135">
        <f>IFERROR(VLOOKUP(C140,'02_TCT GUADAMUR'!$F$6:$R$36,13,FALSE),"")</f>
        <v>0</v>
      </c>
      <c r="J140" s="135">
        <f>IFERROR(VLOOKUP(C140,'02_TCT GUADAMUR'!$F$6:$T$36,15,FALSE),"")</f>
        <v>6</v>
      </c>
      <c r="K140" s="138">
        <f t="shared" si="108"/>
        <v>6</v>
      </c>
      <c r="L140" s="135">
        <f>IFERROR(VLOOKUP(C140,'03_TCT MAQUEDA'!$F$6:$R$36,13,FALSE),"")</f>
        <v>0</v>
      </c>
      <c r="M140" s="135">
        <f>IFERROR(VLOOKUP(C140,'03_TCT MAQUEDA'!$F$6:$T$36,15,FALSE),"")</f>
        <v>8</v>
      </c>
      <c r="N140" s="138">
        <f t="shared" si="109"/>
        <v>8</v>
      </c>
      <c r="O140" s="135" t="str">
        <f>IFERROR(VLOOKUP(C140,'04_RALLYE CAM'!$F$6:$R$36,13,FALSE),"")</f>
        <v/>
      </c>
      <c r="P140" s="135" t="str">
        <f>IFERROR(VLOOKUP(C140,'04_RALLYE CAM'!$F$6:$T$36,15,FALSE),"")</f>
        <v/>
      </c>
      <c r="Q140" s="138" t="e">
        <f t="shared" si="110"/>
        <v>#VALUE!</v>
      </c>
      <c r="R140" s="135" t="str">
        <f>IFERROR(VLOOKUP(C140,'05_RS NAVALCARNERO'!$F$6:$R$28,13,FALSE),"")</f>
        <v/>
      </c>
      <c r="S140" s="135" t="str">
        <f>IFERROR(VLOOKUP(C140,'05_RS NAVALCARNERO'!$F$6:$T$28,15,FALSE),"")</f>
        <v/>
      </c>
      <c r="T140" s="138" t="e">
        <f t="shared" si="111"/>
        <v>#VALUE!</v>
      </c>
      <c r="U140" s="135" t="str">
        <f>IFERROR(VLOOKUP(C140,'06_TCT NUEVO BAZTÁN'!$F$6:$R$28,13,FALSE),"")</f>
        <v/>
      </c>
      <c r="V140" s="135" t="str">
        <f>IFERROR(VLOOKUP(C140,'06_TCT NUEVO BAZTÁN'!$F$6:$T$28,15,FALSE),"")</f>
        <v/>
      </c>
      <c r="W140" s="138" t="e">
        <f t="shared" si="112"/>
        <v>#VALUE!</v>
      </c>
      <c r="X140" s="139" t="e">
        <f t="shared" si="113"/>
        <v>#VALUE!</v>
      </c>
      <c r="Y140" s="140" t="str">
        <f t="shared" si="114"/>
        <v>Sí</v>
      </c>
      <c r="Z140" s="141">
        <f t="shared" si="115"/>
        <v>6</v>
      </c>
      <c r="AA140" s="148"/>
      <c r="AB140" s="262" t="str">
        <f>IFERROR(VLOOKUP(C140,Tabla15[[Piloto2]:[Puntos clase5]],4, FALSE), " ")</f>
        <v xml:space="preserve"> </v>
      </c>
    </row>
    <row r="141" spans="2:39" ht="12.75" customHeight="1" x14ac:dyDescent="0.3">
      <c r="B141" s="133">
        <v>27</v>
      </c>
      <c r="C141" s="142" t="s">
        <v>458</v>
      </c>
      <c r="D141" s="482" t="s">
        <v>359</v>
      </c>
      <c r="E141" s="482" t="s">
        <v>359</v>
      </c>
      <c r="F141" s="135" t="str">
        <f>IFERROR(VLOOKUP(C141,'01_RS ALCARRIA'!$F$6:$R$36,13,FALSE),"")</f>
        <v/>
      </c>
      <c r="G141" s="135" t="str">
        <f>IFERROR(VLOOKUP(C141,'01_RS ALCARRIA'!$F$6:$T$36,15,FALSE),"")</f>
        <v/>
      </c>
      <c r="H141" s="138" t="e">
        <f t="shared" si="107"/>
        <v>#VALUE!</v>
      </c>
      <c r="I141" s="135" t="str">
        <f>IFERROR(VLOOKUP(C141,'02_TCT GUADAMUR'!$F$6:$R$36,13,FALSE),"")</f>
        <v/>
      </c>
      <c r="J141" s="135" t="str">
        <f>IFERROR(VLOOKUP(C141,'02_TCT GUADAMUR'!$F$6:$T$36,15,FALSE),"")</f>
        <v/>
      </c>
      <c r="K141" s="138" t="e">
        <f t="shared" si="108"/>
        <v>#VALUE!</v>
      </c>
      <c r="L141" s="135">
        <v>0</v>
      </c>
      <c r="M141" s="135">
        <v>0</v>
      </c>
      <c r="N141" s="138">
        <f t="shared" si="109"/>
        <v>0</v>
      </c>
      <c r="O141" s="135" t="str">
        <f>IFERROR(VLOOKUP(C141,'04_RALLYE CAM'!$F$6:$R$36,13,FALSE),"")</f>
        <v/>
      </c>
      <c r="P141" s="135" t="str">
        <f>IFERROR(VLOOKUP(C141,'04_RALLYE CAM'!$F$6:$T$36,15,FALSE),"")</f>
        <v/>
      </c>
      <c r="Q141" s="138" t="e">
        <f t="shared" si="110"/>
        <v>#VALUE!</v>
      </c>
      <c r="R141" s="135" t="str">
        <f>IFERROR(VLOOKUP(C141,'05_RS NAVALCARNERO'!$F$6:$R$28,13,FALSE),"")</f>
        <v/>
      </c>
      <c r="S141" s="135" t="str">
        <f>IFERROR(VLOOKUP(C141,'05_RS NAVALCARNERO'!$F$6:$T$28,15,FALSE),"")</f>
        <v/>
      </c>
      <c r="T141" s="138" t="e">
        <f t="shared" si="111"/>
        <v>#VALUE!</v>
      </c>
      <c r="U141" s="135" t="str">
        <f>IFERROR(VLOOKUP(C141,'06_TCT NUEVO BAZTÁN'!$F$6:$R$28,13,FALSE),"")</f>
        <v/>
      </c>
      <c r="V141" s="135" t="str">
        <f>IFERROR(VLOOKUP(C141,'06_TCT NUEVO BAZTÁN'!$F$6:$T$28,15,FALSE),"")</f>
        <v/>
      </c>
      <c r="W141" s="138" t="e">
        <f t="shared" si="112"/>
        <v>#VALUE!</v>
      </c>
      <c r="X141" s="139" t="e">
        <f t="shared" si="113"/>
        <v>#VALUE!</v>
      </c>
      <c r="Y141" s="140" t="str">
        <f t="shared" si="114"/>
        <v>Sí</v>
      </c>
      <c r="Z141" s="141">
        <f t="shared" si="115"/>
        <v>6</v>
      </c>
      <c r="AA141" s="148"/>
      <c r="AB141" s="262" t="str">
        <f>IFERROR(VLOOKUP(C141,Tabla15[[Piloto2]:[Puntos clase5]],4, FALSE), " ")</f>
        <v xml:space="preserve"> </v>
      </c>
    </row>
    <row r="142" spans="2:39" ht="12.75" customHeight="1" x14ac:dyDescent="0.3">
      <c r="B142" s="133">
        <v>28</v>
      </c>
      <c r="C142" s="142" t="s">
        <v>679</v>
      </c>
      <c r="D142" s="482">
        <v>1</v>
      </c>
      <c r="E142" s="482">
        <v>4</v>
      </c>
      <c r="F142" s="135" t="str">
        <f>IFERROR(VLOOKUP(C142,'01_RS ALCARRIA'!$F$6:$R$36,13,FALSE),"")</f>
        <v/>
      </c>
      <c r="G142" s="135" t="str">
        <f>IFERROR(VLOOKUP(C142,'01_RS ALCARRIA'!$F$6:$T$36,15,FALSE),"")</f>
        <v/>
      </c>
      <c r="H142" s="138" t="e">
        <f t="shared" si="107"/>
        <v>#VALUE!</v>
      </c>
      <c r="I142" s="135" t="str">
        <f>IFERROR(VLOOKUP(C142,'02_TCT GUADAMUR'!$F$6:$R$36,13,FALSE),"")</f>
        <v/>
      </c>
      <c r="J142" s="135" t="str">
        <f>IFERROR(VLOOKUP(C142,'02_TCT GUADAMUR'!$F$6:$T$36,15,FALSE),"")</f>
        <v/>
      </c>
      <c r="K142" s="138" t="e">
        <f t="shared" si="108"/>
        <v>#VALUE!</v>
      </c>
      <c r="L142" s="135">
        <f>IFERROR(VLOOKUP(C142,'03_TCT MAQUEDA'!$F$6:$R$36,13,FALSE),"")</f>
        <v>0</v>
      </c>
      <c r="M142" s="135">
        <f>IFERROR(VLOOKUP(C142,'03_TCT MAQUEDA'!$F$6:$T$36,15,FALSE),"")</f>
        <v>6</v>
      </c>
      <c r="N142" s="138">
        <f t="shared" si="109"/>
        <v>6</v>
      </c>
      <c r="O142" s="135" t="str">
        <f>IFERROR(VLOOKUP(C142,'04_RALLYE CAM'!$F$6:$R$36,13,FALSE),"")</f>
        <v/>
      </c>
      <c r="P142" s="135" t="str">
        <f>IFERROR(VLOOKUP(C142,'04_RALLYE CAM'!$F$6:$T$36,15,FALSE),"")</f>
        <v/>
      </c>
      <c r="Q142" s="138" t="e">
        <f t="shared" si="110"/>
        <v>#VALUE!</v>
      </c>
      <c r="R142" s="135" t="str">
        <f>IFERROR(VLOOKUP(C142,'05_RS NAVALCARNERO'!$F$6:$R$28,13,FALSE),"")</f>
        <v/>
      </c>
      <c r="S142" s="135" t="str">
        <f>IFERROR(VLOOKUP(C142,'05_RS NAVALCARNERO'!$F$6:$T$28,15,FALSE),"")</f>
        <v/>
      </c>
      <c r="T142" s="138" t="e">
        <f t="shared" si="111"/>
        <v>#VALUE!</v>
      </c>
      <c r="U142" s="135" t="str">
        <f>IFERROR(VLOOKUP(C142,'06_TCT NUEVO BAZTÁN'!$F$6:$R$28,13,FALSE),"")</f>
        <v/>
      </c>
      <c r="V142" s="135" t="str">
        <f>IFERROR(VLOOKUP(C142,'06_TCT NUEVO BAZTÁN'!$F$6:$T$28,15,FALSE),"")</f>
        <v/>
      </c>
      <c r="W142" s="138" t="e">
        <f t="shared" si="112"/>
        <v>#VALUE!</v>
      </c>
      <c r="X142" s="139" t="e">
        <f t="shared" si="113"/>
        <v>#VALUE!</v>
      </c>
      <c r="Y142" s="140" t="str">
        <f t="shared" si="114"/>
        <v>Sí</v>
      </c>
      <c r="Z142" s="141">
        <f t="shared" si="115"/>
        <v>6</v>
      </c>
      <c r="AA142" s="148"/>
      <c r="AB142" s="262"/>
    </row>
    <row r="143" spans="2:39" ht="12.75" customHeight="1" x14ac:dyDescent="0.3">
      <c r="B143" s="133">
        <v>28</v>
      </c>
      <c r="C143" s="142" t="s">
        <v>681</v>
      </c>
      <c r="D143" s="482">
        <v>3</v>
      </c>
      <c r="E143" s="482">
        <v>2</v>
      </c>
      <c r="F143" s="135" t="str">
        <f>IFERROR(VLOOKUP(C143,'01_RS ALCARRIA'!$F$6:$R$36,13,FALSE),"")</f>
        <v/>
      </c>
      <c r="G143" s="135" t="str">
        <f>IFERROR(VLOOKUP(C143,'01_RS ALCARRIA'!$F$6:$T$36,15,FALSE),"")</f>
        <v/>
      </c>
      <c r="H143" s="138" t="e">
        <f t="shared" si="107"/>
        <v>#VALUE!</v>
      </c>
      <c r="I143" s="135" t="str">
        <f>IFERROR(VLOOKUP(C143,'02_TCT GUADAMUR'!$F$6:$R$36,13,FALSE),"")</f>
        <v/>
      </c>
      <c r="J143" s="135" t="str">
        <f>IFERROR(VLOOKUP(C143,'02_TCT GUADAMUR'!$F$6:$T$36,15,FALSE),"")</f>
        <v/>
      </c>
      <c r="K143" s="138" t="e">
        <f t="shared" si="108"/>
        <v>#VALUE!</v>
      </c>
      <c r="L143" s="135">
        <v>0</v>
      </c>
      <c r="M143" s="135">
        <v>0</v>
      </c>
      <c r="N143" s="138">
        <f t="shared" si="109"/>
        <v>0</v>
      </c>
      <c r="O143" s="135" t="str">
        <f>IFERROR(VLOOKUP(C143,'04_RALLYE CAM'!$F$6:$R$36,13,FALSE),"")</f>
        <v/>
      </c>
      <c r="P143" s="135" t="str">
        <f>IFERROR(VLOOKUP(C143,'04_RALLYE CAM'!$F$6:$T$36,15,FALSE),"")</f>
        <v/>
      </c>
      <c r="Q143" s="138" t="e">
        <f t="shared" si="110"/>
        <v>#VALUE!</v>
      </c>
      <c r="R143" s="135" t="str">
        <f>IFERROR(VLOOKUP(C143,'05_RS NAVALCARNERO'!$F$6:$R$28,13,FALSE),"")</f>
        <v/>
      </c>
      <c r="S143" s="135" t="str">
        <f>IFERROR(VLOOKUP(C143,'05_RS NAVALCARNERO'!$F$6:$T$28,15,FALSE),"")</f>
        <v/>
      </c>
      <c r="T143" s="138" t="e">
        <f t="shared" si="111"/>
        <v>#VALUE!</v>
      </c>
      <c r="U143" s="135" t="str">
        <f>IFERROR(VLOOKUP(C143,'06_TCT NUEVO BAZTÁN'!$F$6:$R$28,13,FALSE),"")</f>
        <v/>
      </c>
      <c r="V143" s="135" t="str">
        <f>IFERROR(VLOOKUP(C143,'06_TCT NUEVO BAZTÁN'!$F$6:$T$28,15,FALSE),"")</f>
        <v/>
      </c>
      <c r="W143" s="138" t="e">
        <f t="shared" si="112"/>
        <v>#VALUE!</v>
      </c>
      <c r="X143" s="139" t="e">
        <f t="shared" si="113"/>
        <v>#VALUE!</v>
      </c>
      <c r="Y143" s="140" t="str">
        <f t="shared" si="114"/>
        <v>Sí</v>
      </c>
      <c r="Z143" s="141">
        <f t="shared" si="115"/>
        <v>6</v>
      </c>
      <c r="AA143" s="148"/>
      <c r="AB143" s="262"/>
    </row>
    <row r="144" spans="2:39" ht="12.75" customHeight="1" x14ac:dyDescent="0.3">
      <c r="B144" s="133"/>
      <c r="C144" s="142" t="s">
        <v>684</v>
      </c>
      <c r="D144" s="482">
        <v>4</v>
      </c>
      <c r="E144" s="482">
        <v>2</v>
      </c>
      <c r="F144" s="135" t="str">
        <f>IFERROR(VLOOKUP(C144,'01_RS ALCARRIA'!$F$6:$R$36,13,FALSE),"")</f>
        <v/>
      </c>
      <c r="G144" s="135" t="str">
        <f>IFERROR(VLOOKUP(C144,'01_RS ALCARRIA'!$F$6:$T$36,15,FALSE),"")</f>
        <v/>
      </c>
      <c r="H144" s="138" t="e">
        <f t="shared" si="107"/>
        <v>#VALUE!</v>
      </c>
      <c r="I144" s="135" t="str">
        <f>IFERROR(VLOOKUP(C144,'02_TCT GUADAMUR'!$F$6:$R$36,13,FALSE),"")</f>
        <v/>
      </c>
      <c r="J144" s="135" t="str">
        <f>IFERROR(VLOOKUP(C144,'02_TCT GUADAMUR'!$F$6:$T$36,15,FALSE),"")</f>
        <v/>
      </c>
      <c r="K144" s="138" t="e">
        <f t="shared" si="108"/>
        <v>#VALUE!</v>
      </c>
      <c r="L144" s="135">
        <f>IFERROR(VLOOKUP(C144,'03_TCT MAQUEDA'!$F$6:$R$36,13,FALSE),"")</f>
        <v>0</v>
      </c>
      <c r="M144" s="135">
        <f>IFERROR(VLOOKUP(C144,'03_TCT MAQUEDA'!$F$6:$T$36,15,FALSE),"")</f>
        <v>6</v>
      </c>
      <c r="N144" s="138">
        <f t="shared" si="109"/>
        <v>6</v>
      </c>
      <c r="O144" s="135" t="str">
        <f>IFERROR(VLOOKUP(C144,'04_RALLYE CAM'!$F$6:$R$36,13,FALSE),"")</f>
        <v/>
      </c>
      <c r="P144" s="135" t="str">
        <f>IFERROR(VLOOKUP(C144,'04_RALLYE CAM'!$F$6:$T$36,15,FALSE),"")</f>
        <v/>
      </c>
      <c r="Q144" s="138" t="e">
        <f t="shared" si="110"/>
        <v>#VALUE!</v>
      </c>
      <c r="R144" s="135" t="str">
        <f>IFERROR(VLOOKUP(C144,'05_RS NAVALCARNERO'!$F$6:$R$28,13,FALSE),"")</f>
        <v/>
      </c>
      <c r="S144" s="135" t="str">
        <f>IFERROR(VLOOKUP(C144,'05_RS NAVALCARNERO'!$F$6:$T$28,15,FALSE),"")</f>
        <v/>
      </c>
      <c r="T144" s="138" t="e">
        <f t="shared" si="111"/>
        <v>#VALUE!</v>
      </c>
      <c r="U144" s="135" t="str">
        <f>IFERROR(VLOOKUP(C144,'06_TCT NUEVO BAZTÁN'!$F$6:$R$28,13,FALSE),"")</f>
        <v/>
      </c>
      <c r="V144" s="135" t="str">
        <f>IFERROR(VLOOKUP(C144,'06_TCT NUEVO BAZTÁN'!$F$6:$T$28,15,FALSE),"")</f>
        <v/>
      </c>
      <c r="W144" s="138" t="e">
        <f t="shared" si="112"/>
        <v>#VALUE!</v>
      </c>
      <c r="X144" s="139" t="e">
        <f t="shared" si="113"/>
        <v>#VALUE!</v>
      </c>
      <c r="Y144" s="140" t="str">
        <f t="shared" si="114"/>
        <v>Sí</v>
      </c>
      <c r="Z144" s="141">
        <f t="shared" si="115"/>
        <v>6</v>
      </c>
      <c r="AA144" s="148"/>
      <c r="AB144" s="262"/>
    </row>
    <row r="145" spans="2:39" ht="12.75" customHeight="1" x14ac:dyDescent="0.3">
      <c r="B145" s="133"/>
      <c r="C145" s="142" t="s">
        <v>696</v>
      </c>
      <c r="D145" s="482">
        <v>1</v>
      </c>
      <c r="E145" s="482">
        <v>4</v>
      </c>
      <c r="F145" s="135" t="str">
        <f>IFERROR(VLOOKUP(C145,'01_RS ALCARRIA'!$F$6:$R$36,13,FALSE),"")</f>
        <v/>
      </c>
      <c r="G145" s="135" t="str">
        <f>IFERROR(VLOOKUP(C145,'01_RS ALCARRIA'!$F$6:$T$36,15,FALSE),"")</f>
        <v/>
      </c>
      <c r="H145" s="138" t="e">
        <f t="shared" ref="H145" si="116">(F145+G145)*2</f>
        <v>#VALUE!</v>
      </c>
      <c r="I145" s="135" t="str">
        <f>IFERROR(VLOOKUP(C145,'02_TCT GUADAMUR'!$F$6:$R$36,13,FALSE),"")</f>
        <v/>
      </c>
      <c r="J145" s="135" t="str">
        <f>IFERROR(VLOOKUP(C145,'02_TCT GUADAMUR'!$F$6:$T$36,15,FALSE),"")</f>
        <v/>
      </c>
      <c r="K145" s="138" t="e">
        <f t="shared" ref="K145" si="117">(I145+J145)</f>
        <v>#VALUE!</v>
      </c>
      <c r="L145" s="135">
        <f>IFERROR(VLOOKUP(C145,'03_TCT MAQUEDA'!$F$6:$R$36,13,FALSE),"")</f>
        <v>25</v>
      </c>
      <c r="M145" s="135">
        <f>IFERROR(VLOOKUP(C145,'03_TCT MAQUEDA'!$F$6:$T$36,15,FALSE),"")</f>
        <v>10</v>
      </c>
      <c r="N145" s="138">
        <f t="shared" ref="N145" si="118">(L145+M145)</f>
        <v>35</v>
      </c>
      <c r="O145" s="135" t="str">
        <f>IFERROR(VLOOKUP(C145,'04_RALLYE CAM'!$F$6:$R$36,13,FALSE),"")</f>
        <v/>
      </c>
      <c r="P145" s="135" t="str">
        <f>IFERROR(VLOOKUP(C145,'04_RALLYE CAM'!$F$6:$T$36,15,FALSE),"")</f>
        <v/>
      </c>
      <c r="Q145" s="138" t="e">
        <f t="shared" ref="Q145" si="119">(O145+P145)*3</f>
        <v>#VALUE!</v>
      </c>
      <c r="R145" s="135" t="str">
        <f>IFERROR(VLOOKUP(C145,'05_RS NAVALCARNERO'!$F$6:$R$28,13,FALSE),"")</f>
        <v/>
      </c>
      <c r="S145" s="135" t="str">
        <f>IFERROR(VLOOKUP(C145,'05_RS NAVALCARNERO'!$F$6:$T$28,15,FALSE),"")</f>
        <v/>
      </c>
      <c r="T145" s="138" t="e">
        <f t="shared" ref="T145" si="120">(R145+S145)*2</f>
        <v>#VALUE!</v>
      </c>
      <c r="U145" s="135" t="str">
        <f>IFERROR(VLOOKUP(C145,'06_TCT NUEVO BAZTÁN'!$F$6:$R$28,13,FALSE),"")</f>
        <v/>
      </c>
      <c r="V145" s="135" t="str">
        <f>IFERROR(VLOOKUP(C145,'06_TCT NUEVO BAZTÁN'!$F$6:$T$28,15,FALSE),"")</f>
        <v/>
      </c>
      <c r="W145" s="138" t="e">
        <f t="shared" ref="W145" si="121">(U145+V145)</f>
        <v>#VALUE!</v>
      </c>
      <c r="X145" s="139" t="e">
        <f t="shared" ref="X145" si="122">H145+K145+N145+Q145+T145+W145</f>
        <v>#VALUE!</v>
      </c>
      <c r="Y145" s="140"/>
      <c r="Z145" s="141"/>
      <c r="AA145" s="148"/>
      <c r="AB145" s="262"/>
    </row>
    <row r="146" spans="2:39" ht="12.75" customHeight="1" x14ac:dyDescent="0.3">
      <c r="B146" s="133"/>
      <c r="C146" s="142" t="s">
        <v>293</v>
      </c>
      <c r="D146" s="482">
        <v>1</v>
      </c>
      <c r="E146" s="482">
        <v>4</v>
      </c>
      <c r="F146" s="135" t="str">
        <f>IFERROR(VLOOKUP(C146,'01_RS ALCARRIA'!$F$6:$R$36,13,FALSE),"")</f>
        <v/>
      </c>
      <c r="G146" s="135" t="str">
        <f>IFERROR(VLOOKUP(C146,'01_RS ALCARRIA'!$F$6:$T$36,15,FALSE),"")</f>
        <v/>
      </c>
      <c r="H146" s="138" t="e">
        <f t="shared" ref="H146" si="123">(F146+G146)*2</f>
        <v>#VALUE!</v>
      </c>
      <c r="I146" s="135" t="str">
        <f>IFERROR(VLOOKUP(C146,'02_TCT GUADAMUR'!$F$6:$R$36,13,FALSE),"")</f>
        <v/>
      </c>
      <c r="J146" s="135" t="str">
        <f>IFERROR(VLOOKUP(C146,'02_TCT GUADAMUR'!$F$6:$T$36,15,FALSE),"")</f>
        <v/>
      </c>
      <c r="K146" s="138" t="e">
        <f t="shared" ref="K146" si="124">(I146+J146)</f>
        <v>#VALUE!</v>
      </c>
      <c r="L146" s="135">
        <f>IFERROR(VLOOKUP(C146,'03_TCT MAQUEDA'!$F$6:$R$36,13,FALSE),"")</f>
        <v>20</v>
      </c>
      <c r="M146" s="135">
        <f>IFERROR(VLOOKUP(C146,'03_TCT MAQUEDA'!$F$6:$T$36,15,FALSE),"")</f>
        <v>8</v>
      </c>
      <c r="N146" s="138">
        <f t="shared" ref="N146" si="125">(L146+M146)</f>
        <v>28</v>
      </c>
      <c r="O146" s="135" t="str">
        <f>IFERROR(VLOOKUP(C146,'04_RALLYE CAM'!$F$6:$R$36,13,FALSE),"")</f>
        <v/>
      </c>
      <c r="P146" s="135" t="str">
        <f>IFERROR(VLOOKUP(C146,'04_RALLYE CAM'!$F$6:$T$36,15,FALSE),"")</f>
        <v/>
      </c>
      <c r="Q146" s="138" t="e">
        <f t="shared" ref="Q146" si="126">(O146+P146)*3</f>
        <v>#VALUE!</v>
      </c>
      <c r="R146" s="135" t="str">
        <f>IFERROR(VLOOKUP(C146,'05_RS NAVALCARNERO'!$F$6:$R$28,13,FALSE),"")</f>
        <v/>
      </c>
      <c r="S146" s="135" t="str">
        <f>IFERROR(VLOOKUP(C146,'05_RS NAVALCARNERO'!$F$6:$T$28,15,FALSE),"")</f>
        <v/>
      </c>
      <c r="T146" s="138" t="e">
        <f t="shared" ref="T146" si="127">(R146+S146)*2</f>
        <v>#VALUE!</v>
      </c>
      <c r="U146" s="135" t="str">
        <f>IFERROR(VLOOKUP(C146,'06_TCT NUEVO BAZTÁN'!$F$6:$R$28,13,FALSE),"")</f>
        <v/>
      </c>
      <c r="V146" s="135" t="str">
        <f>IFERROR(VLOOKUP(C146,'06_TCT NUEVO BAZTÁN'!$F$6:$T$28,15,FALSE),"")</f>
        <v/>
      </c>
      <c r="W146" s="138" t="e">
        <f t="shared" ref="W146" si="128">(U146+V146)</f>
        <v>#VALUE!</v>
      </c>
      <c r="X146" s="139" t="e">
        <f t="shared" ref="X146" si="129">H146+K146+N146+Q146+T146+W146</f>
        <v>#VALUE!</v>
      </c>
      <c r="Y146" s="140"/>
      <c r="Z146" s="141"/>
      <c r="AA146" s="148"/>
      <c r="AB146" s="262"/>
    </row>
    <row r="147" spans="2:39" ht="12.75" customHeight="1" x14ac:dyDescent="0.3">
      <c r="B147" s="133"/>
      <c r="C147" s="142" t="s">
        <v>699</v>
      </c>
      <c r="D147" s="482">
        <v>5</v>
      </c>
      <c r="E147" s="482">
        <v>2</v>
      </c>
      <c r="F147" s="135" t="str">
        <f>IFERROR(VLOOKUP(C147,'01_RS ALCARRIA'!$F$6:$R$36,13,FALSE),"")</f>
        <v/>
      </c>
      <c r="G147" s="135" t="str">
        <f>IFERROR(VLOOKUP(C147,'01_RS ALCARRIA'!$F$6:$T$36,15,FALSE),"")</f>
        <v/>
      </c>
      <c r="H147" s="138" t="e">
        <f t="shared" ref="H147" si="130">(F147+G147)*2</f>
        <v>#VALUE!</v>
      </c>
      <c r="I147" s="135" t="str">
        <f>IFERROR(VLOOKUP(C147,'02_TCT GUADAMUR'!$F$6:$R$36,13,FALSE),"")</f>
        <v/>
      </c>
      <c r="J147" s="135" t="str">
        <f>IFERROR(VLOOKUP(C147,'02_TCT GUADAMUR'!$F$6:$T$36,15,FALSE),"")</f>
        <v/>
      </c>
      <c r="K147" s="138" t="e">
        <f t="shared" ref="K147" si="131">(I147+J147)</f>
        <v>#VALUE!</v>
      </c>
      <c r="L147" s="135">
        <f>IFERROR(VLOOKUP(C147,'03_TCT MAQUEDA'!$F$6:$R$36,13,FALSE),"")</f>
        <v>4</v>
      </c>
      <c r="M147" s="284">
        <f>IFERROR(VLOOKUP(C147,'03_TCT MAQUEDA'!$F$6:$T$36,15,FALSE),"")/2</f>
        <v>4</v>
      </c>
      <c r="N147" s="138">
        <f t="shared" ref="N147" si="132">(L147+M147)</f>
        <v>8</v>
      </c>
      <c r="O147" s="135" t="str">
        <f>IFERROR(VLOOKUP(C147,'04_RALLYE CAM'!$F$6:$R$36,13,FALSE),"")</f>
        <v/>
      </c>
      <c r="P147" s="135" t="str">
        <f>IFERROR(VLOOKUP(C147,'04_RALLYE CAM'!$F$6:$T$36,15,FALSE),"")</f>
        <v/>
      </c>
      <c r="Q147" s="138" t="e">
        <f t="shared" ref="Q147" si="133">(O147+P147)*3</f>
        <v>#VALUE!</v>
      </c>
      <c r="R147" s="135" t="str">
        <f>IFERROR(VLOOKUP(C147,'05_RS NAVALCARNERO'!$F$6:$R$28,13,FALSE),"")</f>
        <v/>
      </c>
      <c r="S147" s="135" t="str">
        <f>IFERROR(VLOOKUP(C147,'05_RS NAVALCARNERO'!$F$6:$T$28,15,FALSE),"")</f>
        <v/>
      </c>
      <c r="T147" s="138" t="e">
        <f t="shared" ref="T147" si="134">(R147+S147)*2</f>
        <v>#VALUE!</v>
      </c>
      <c r="U147" s="135" t="str">
        <f>IFERROR(VLOOKUP(C147,'06_TCT NUEVO BAZTÁN'!$F$6:$R$28,13,FALSE),"")</f>
        <v/>
      </c>
      <c r="V147" s="135" t="str">
        <f>IFERROR(VLOOKUP(C147,'06_TCT NUEVO BAZTÁN'!$F$6:$T$28,15,FALSE),"")</f>
        <v/>
      </c>
      <c r="W147" s="138" t="e">
        <f t="shared" ref="W147" si="135">(U147+V147)</f>
        <v>#VALUE!</v>
      </c>
      <c r="X147" s="139" t="e">
        <f t="shared" ref="X147" si="136">H147+K147+N147+Q147+T147+W147</f>
        <v>#VALUE!</v>
      </c>
      <c r="Y147" s="140"/>
      <c r="Z147" s="141"/>
      <c r="AA147" s="148"/>
      <c r="AB147" s="262"/>
    </row>
    <row r="148" spans="2:39" ht="12.75" customHeight="1" x14ac:dyDescent="0.3">
      <c r="B148" s="133"/>
      <c r="C148" s="142" t="s">
        <v>700</v>
      </c>
      <c r="D148" s="482">
        <v>3</v>
      </c>
      <c r="E148" s="482">
        <v>2</v>
      </c>
      <c r="F148" s="135" t="str">
        <f>IFERROR(VLOOKUP(C148,'01_RS ALCARRIA'!$F$6:$R$36,13,FALSE),"")</f>
        <v/>
      </c>
      <c r="G148" s="135" t="str">
        <f>IFERROR(VLOOKUP(C148,'01_RS ALCARRIA'!$F$6:$T$36,15,FALSE),"")</f>
        <v/>
      </c>
      <c r="H148" s="138" t="e">
        <f t="shared" ref="H148" si="137">(F148+G148)*2</f>
        <v>#VALUE!</v>
      </c>
      <c r="I148" s="135" t="str">
        <f>IFERROR(VLOOKUP(C148,'02_TCT GUADAMUR'!$F$6:$R$36,13,FALSE),"")</f>
        <v/>
      </c>
      <c r="J148" s="135" t="str">
        <f>IFERROR(VLOOKUP(C148,'02_TCT GUADAMUR'!$F$6:$T$36,15,FALSE),"")</f>
        <v/>
      </c>
      <c r="K148" s="138" t="e">
        <f t="shared" ref="K148" si="138">(I148+J148)</f>
        <v>#VALUE!</v>
      </c>
      <c r="L148" s="135">
        <v>0</v>
      </c>
      <c r="M148" s="135">
        <v>0</v>
      </c>
      <c r="N148" s="138">
        <f t="shared" ref="N148" si="139">(L148+M148)</f>
        <v>0</v>
      </c>
      <c r="O148" s="135" t="str">
        <f>IFERROR(VLOOKUP(C148,'04_RALLYE CAM'!$F$6:$R$36,13,FALSE),"")</f>
        <v/>
      </c>
      <c r="P148" s="135" t="str">
        <f>IFERROR(VLOOKUP(C148,'04_RALLYE CAM'!$F$6:$T$36,15,FALSE),"")</f>
        <v/>
      </c>
      <c r="Q148" s="138" t="e">
        <f t="shared" ref="Q148" si="140">(O148+P148)*3</f>
        <v>#VALUE!</v>
      </c>
      <c r="R148" s="135" t="str">
        <f>IFERROR(VLOOKUP(C148,'05_RS NAVALCARNERO'!$F$6:$R$28,13,FALSE),"")</f>
        <v/>
      </c>
      <c r="S148" s="135" t="str">
        <f>IFERROR(VLOOKUP(C148,'05_RS NAVALCARNERO'!$F$6:$T$28,15,FALSE),"")</f>
        <v/>
      </c>
      <c r="T148" s="138" t="e">
        <f t="shared" ref="T148" si="141">(R148+S148)*2</f>
        <v>#VALUE!</v>
      </c>
      <c r="U148" s="135" t="str">
        <f>IFERROR(VLOOKUP(C148,'06_TCT NUEVO BAZTÁN'!$F$6:$R$28,13,FALSE),"")</f>
        <v/>
      </c>
      <c r="V148" s="135" t="str">
        <f>IFERROR(VLOOKUP(C148,'06_TCT NUEVO BAZTÁN'!$F$6:$T$28,15,FALSE),"")</f>
        <v/>
      </c>
      <c r="W148" s="138" t="e">
        <f t="shared" ref="W148" si="142">(U148+V148)</f>
        <v>#VALUE!</v>
      </c>
      <c r="X148" s="139" t="e">
        <f t="shared" ref="X148" si="143">H148+K148+N148+Q148+T148+W148</f>
        <v>#VALUE!</v>
      </c>
      <c r="Y148" s="140"/>
      <c r="Z148" s="141"/>
      <c r="AA148" s="148"/>
      <c r="AB148" s="262"/>
    </row>
    <row r="149" spans="2:39" ht="12.75" customHeight="1" x14ac:dyDescent="0.3">
      <c r="B149" s="133"/>
      <c r="C149" s="142" t="s">
        <v>701</v>
      </c>
      <c r="D149" s="482">
        <v>3</v>
      </c>
      <c r="E149" s="482">
        <v>2</v>
      </c>
      <c r="F149" s="135" t="str">
        <f>IFERROR(VLOOKUP(C149,'01_RS ALCARRIA'!$F$6:$R$36,13,FALSE),"")</f>
        <v/>
      </c>
      <c r="G149" s="135" t="str">
        <f>IFERROR(VLOOKUP(C149,'01_RS ALCARRIA'!$F$6:$T$36,15,FALSE),"")</f>
        <v/>
      </c>
      <c r="H149" s="138" t="e">
        <f t="shared" ref="H149" si="144">(F149+G149)*2</f>
        <v>#VALUE!</v>
      </c>
      <c r="I149" s="135" t="str">
        <f>IFERROR(VLOOKUP(C149,'02_TCT GUADAMUR'!$F$6:$R$36,13,FALSE),"")</f>
        <v/>
      </c>
      <c r="J149" s="135" t="str">
        <f>IFERROR(VLOOKUP(C149,'02_TCT GUADAMUR'!$F$6:$T$36,15,FALSE),"")</f>
        <v/>
      </c>
      <c r="K149" s="138" t="e">
        <f t="shared" ref="K149" si="145">(I149+J149)</f>
        <v>#VALUE!</v>
      </c>
      <c r="L149" s="135">
        <v>0</v>
      </c>
      <c r="M149" s="135">
        <v>0</v>
      </c>
      <c r="N149" s="138">
        <f t="shared" ref="N149" si="146">(L149+M149)</f>
        <v>0</v>
      </c>
      <c r="O149" s="135" t="str">
        <f>IFERROR(VLOOKUP(C149,'04_RALLYE CAM'!$F$6:$R$36,13,FALSE),"")</f>
        <v/>
      </c>
      <c r="P149" s="135" t="str">
        <f>IFERROR(VLOOKUP(C149,'04_RALLYE CAM'!$F$6:$T$36,15,FALSE),"")</f>
        <v/>
      </c>
      <c r="Q149" s="138" t="e">
        <f t="shared" ref="Q149" si="147">(O149+P149)*3</f>
        <v>#VALUE!</v>
      </c>
      <c r="R149" s="135" t="str">
        <f>IFERROR(VLOOKUP(C149,'05_RS NAVALCARNERO'!$F$6:$R$28,13,FALSE),"")</f>
        <v/>
      </c>
      <c r="S149" s="135" t="str">
        <f>IFERROR(VLOOKUP(C149,'05_RS NAVALCARNERO'!$F$6:$T$28,15,FALSE),"")</f>
        <v/>
      </c>
      <c r="T149" s="138" t="e">
        <f t="shared" ref="T149" si="148">(R149+S149)*2</f>
        <v>#VALUE!</v>
      </c>
      <c r="U149" s="135" t="str">
        <f>IFERROR(VLOOKUP(C149,'06_TCT NUEVO BAZTÁN'!$F$6:$R$28,13,FALSE),"")</f>
        <v/>
      </c>
      <c r="V149" s="135" t="str">
        <f>IFERROR(VLOOKUP(C149,'06_TCT NUEVO BAZTÁN'!$F$6:$T$28,15,FALSE),"")</f>
        <v/>
      </c>
      <c r="W149" s="138" t="e">
        <f t="shared" ref="W149" si="149">(U149+V149)</f>
        <v>#VALUE!</v>
      </c>
      <c r="X149" s="139" t="e">
        <f t="shared" ref="X149" si="150">H149+K149+N149+Q149+T149+W149</f>
        <v>#VALUE!</v>
      </c>
      <c r="Y149" s="140"/>
      <c r="Z149" s="141"/>
      <c r="AA149" s="148"/>
      <c r="AB149" s="262"/>
    </row>
    <row r="150" spans="2:39" ht="12.75" customHeight="1" x14ac:dyDescent="0.3">
      <c r="B150" s="133"/>
      <c r="C150" s="142" t="s">
        <v>276</v>
      </c>
      <c r="D150" s="482">
        <v>3</v>
      </c>
      <c r="E150" s="482">
        <v>2</v>
      </c>
      <c r="F150" s="135" t="str">
        <f>IFERROR(VLOOKUP(C150,'01_RS ALCARRIA'!$F$6:$R$36,13,FALSE),"")</f>
        <v/>
      </c>
      <c r="G150" s="135" t="str">
        <f>IFERROR(VLOOKUP(C150,'01_RS ALCARRIA'!$F$6:$T$36,15,FALSE),"")</f>
        <v/>
      </c>
      <c r="H150" s="138" t="e">
        <f t="shared" ref="H150" si="151">(F150+G150)*2</f>
        <v>#VALUE!</v>
      </c>
      <c r="I150" s="135" t="str">
        <f>IFERROR(VLOOKUP(C150,'02_TCT GUADAMUR'!$F$6:$R$36,13,FALSE),"")</f>
        <v/>
      </c>
      <c r="J150" s="135" t="str">
        <f>IFERROR(VLOOKUP(C150,'02_TCT GUADAMUR'!$F$6:$T$36,15,FALSE),"")</f>
        <v/>
      </c>
      <c r="K150" s="138" t="e">
        <f t="shared" ref="K150" si="152">(I150+J150)</f>
        <v>#VALUE!</v>
      </c>
      <c r="L150" s="135">
        <v>0</v>
      </c>
      <c r="M150" s="135">
        <v>0</v>
      </c>
      <c r="N150" s="138">
        <f t="shared" ref="N150" si="153">(L150+M150)</f>
        <v>0</v>
      </c>
      <c r="O150" s="135" t="str">
        <f>IFERROR(VLOOKUP(C150,'04_RALLYE CAM'!$F$6:$R$36,13,FALSE),"")</f>
        <v/>
      </c>
      <c r="P150" s="135" t="str">
        <f>IFERROR(VLOOKUP(C150,'04_RALLYE CAM'!$F$6:$T$36,15,FALSE),"")</f>
        <v/>
      </c>
      <c r="Q150" s="138" t="e">
        <f t="shared" ref="Q150" si="154">(O150+P150)*3</f>
        <v>#VALUE!</v>
      </c>
      <c r="R150" s="135">
        <f>IFERROR(VLOOKUP(C150,'05_RS NAVALCARNERO'!$F$6:$R$28,13,FALSE),"")</f>
        <v>3</v>
      </c>
      <c r="S150" s="135">
        <f>IFERROR(VLOOKUP(C150,'05_RS NAVALCARNERO'!$F$6:$T$28,15,FALSE),"")</f>
        <v>6</v>
      </c>
      <c r="T150" s="138">
        <f t="shared" ref="T150" si="155">(R150+S150)*2</f>
        <v>18</v>
      </c>
      <c r="U150" s="135">
        <f>IFERROR(VLOOKUP(C150,'06_TCT NUEVO BAZTÁN'!$F$6:$R$28,13,FALSE),"")</f>
        <v>3</v>
      </c>
      <c r="V150" s="135">
        <f>IFERROR(VLOOKUP(C150,'06_TCT NUEVO BAZTÁN'!$F$6:$T$28,15,FALSE),"")</f>
        <v>6</v>
      </c>
      <c r="W150" s="138">
        <f t="shared" ref="W150" si="156">(U150+V150)</f>
        <v>9</v>
      </c>
      <c r="X150" s="139" t="e">
        <f t="shared" ref="X150" si="157">H150+K150+N150+Q150+T150+W150</f>
        <v>#VALUE!</v>
      </c>
      <c r="Y150" s="140"/>
      <c r="Z150" s="141"/>
      <c r="AA150" s="148"/>
      <c r="AB150" s="262"/>
    </row>
    <row r="151" spans="2:39" ht="12.75" customHeight="1" x14ac:dyDescent="0.3">
      <c r="B151" s="133"/>
      <c r="C151" s="142" t="s">
        <v>703</v>
      </c>
      <c r="D151" s="482">
        <v>2</v>
      </c>
      <c r="E151" s="482">
        <v>2</v>
      </c>
      <c r="F151" s="135" t="str">
        <f>IFERROR(VLOOKUP(C151,'01_RS ALCARRIA'!$F$6:$R$36,13,FALSE),"")</f>
        <v/>
      </c>
      <c r="G151" s="135" t="str">
        <f>IFERROR(VLOOKUP(C151,'01_RS ALCARRIA'!$F$6:$T$36,15,FALSE),"")</f>
        <v/>
      </c>
      <c r="H151" s="138" t="e">
        <f t="shared" ref="H151" si="158">(F151+G151)*2</f>
        <v>#VALUE!</v>
      </c>
      <c r="I151" s="135" t="str">
        <f>IFERROR(VLOOKUP(C151,'02_TCT GUADAMUR'!$F$6:$R$36,13,FALSE),"")</f>
        <v/>
      </c>
      <c r="J151" s="135" t="str">
        <f>IFERROR(VLOOKUP(C151,'02_TCT GUADAMUR'!$F$6:$T$36,15,FALSE),"")</f>
        <v/>
      </c>
      <c r="K151" s="138" t="e">
        <f t="shared" ref="K151" si="159">(I151+J151)</f>
        <v>#VALUE!</v>
      </c>
      <c r="L151" s="135">
        <v>0</v>
      </c>
      <c r="M151" s="135">
        <v>0</v>
      </c>
      <c r="N151" s="138">
        <f t="shared" ref="N151" si="160">(L151+M151)</f>
        <v>0</v>
      </c>
      <c r="O151" s="135" t="str">
        <f>IFERROR(VLOOKUP(C151,'04_RALLYE CAM'!$F$6:$R$36,13,FALSE),"")</f>
        <v/>
      </c>
      <c r="P151" s="135" t="str">
        <f>IFERROR(VLOOKUP(C151,'04_RALLYE CAM'!$F$6:$T$36,15,FALSE),"")</f>
        <v/>
      </c>
      <c r="Q151" s="138" t="e">
        <f t="shared" ref="Q151" si="161">(O151+P151)*3</f>
        <v>#VALUE!</v>
      </c>
      <c r="R151" s="135" t="str">
        <f>IFERROR(VLOOKUP(C151,'05_RS NAVALCARNERO'!$F$6:$R$28,13,FALSE),"")</f>
        <v/>
      </c>
      <c r="S151" s="135" t="str">
        <f>IFERROR(VLOOKUP(C151,'05_RS NAVALCARNERO'!$F$6:$T$28,15,FALSE),"")</f>
        <v/>
      </c>
      <c r="T151" s="138" t="e">
        <f t="shared" ref="T151" si="162">(R151+S151)*2</f>
        <v>#VALUE!</v>
      </c>
      <c r="U151" s="135" t="str">
        <f>IFERROR(VLOOKUP(C151,'06_TCT NUEVO BAZTÁN'!$F$6:$R$28,13,FALSE),"")</f>
        <v/>
      </c>
      <c r="V151" s="135" t="str">
        <f>IFERROR(VLOOKUP(C151,'06_TCT NUEVO BAZTÁN'!$F$6:$T$28,15,FALSE),"")</f>
        <v/>
      </c>
      <c r="W151" s="138" t="e">
        <f t="shared" ref="W151" si="163">(U151+V151)</f>
        <v>#VALUE!</v>
      </c>
      <c r="X151" s="139" t="e">
        <f t="shared" ref="X151" si="164">H151+K151+N151+Q151+T151+W151</f>
        <v>#VALUE!</v>
      </c>
      <c r="Y151" s="140"/>
      <c r="Z151" s="141"/>
      <c r="AA151" s="148"/>
      <c r="AB151" s="262"/>
    </row>
    <row r="152" spans="2:39" ht="12.75" customHeight="1" x14ac:dyDescent="0.3">
      <c r="B152" s="133"/>
      <c r="C152" s="142"/>
      <c r="D152" s="227"/>
      <c r="E152" s="227"/>
      <c r="F152" s="135" t="str">
        <f>IFERROR(VLOOKUP(C152,'01_RS ALCARRIA'!$F$6:$R$36,13,FALSE),"")</f>
        <v/>
      </c>
      <c r="G152" s="135" t="str">
        <f>IFERROR(VLOOKUP(C152,'01_RS ALCARRIA'!$F$6:$T$36,15,FALSE),"")</f>
        <v/>
      </c>
      <c r="H152" s="138" t="e">
        <f t="shared" si="107"/>
        <v>#VALUE!</v>
      </c>
      <c r="I152" s="135" t="str">
        <f>IFERROR(VLOOKUP(C152,'02_TCT GUADAMUR'!$F$6:$R$36,13,FALSE),"")</f>
        <v/>
      </c>
      <c r="J152" s="135" t="str">
        <f>IFERROR(VLOOKUP(C152,'02_TCT GUADAMUR'!$F$6:$T$36,15,FALSE),"")</f>
        <v/>
      </c>
      <c r="K152" s="138" t="e">
        <f t="shared" si="108"/>
        <v>#VALUE!</v>
      </c>
      <c r="L152" s="135" t="str">
        <f>IFERROR(VLOOKUP(C152,'03_TCT MAQUEDA'!$F$6:$R$36,13,FALSE),"")</f>
        <v/>
      </c>
      <c r="M152" s="135" t="str">
        <f>IFERROR(VLOOKUP(C152,'03_TCT MAQUEDA'!$F$6:$T$36,15,FALSE),"")</f>
        <v/>
      </c>
      <c r="N152" s="138" t="e">
        <f t="shared" si="109"/>
        <v>#VALUE!</v>
      </c>
      <c r="O152" s="135" t="str">
        <f>IFERROR(VLOOKUP(C152,'04_RALLYE CAM'!$F$6:$R$36,13,FALSE),"")</f>
        <v/>
      </c>
      <c r="P152" s="135" t="str">
        <f>IFERROR(VLOOKUP(C152,'04_RALLYE CAM'!$F$6:$T$36,15,FALSE),"")</f>
        <v/>
      </c>
      <c r="Q152" s="138" t="e">
        <f t="shared" si="110"/>
        <v>#VALUE!</v>
      </c>
      <c r="R152" s="135" t="str">
        <f>IFERROR(VLOOKUP(C152,'05_RS NAVALCARNERO'!$F$6:$R$28,13,FALSE),"")</f>
        <v/>
      </c>
      <c r="S152" s="135" t="str">
        <f>IFERROR(VLOOKUP(C152,'05_RS NAVALCARNERO'!$F$6:$T$28,15,FALSE),"")</f>
        <v/>
      </c>
      <c r="T152" s="138" t="e">
        <f t="shared" si="111"/>
        <v>#VALUE!</v>
      </c>
      <c r="U152" s="135" t="str">
        <f>IFERROR(VLOOKUP(C152,'06_TCT NUEVO BAZTÁN'!$F$6:$R$28,13,FALSE),"")</f>
        <v/>
      </c>
      <c r="V152" s="135" t="str">
        <f>IFERROR(VLOOKUP(C152,'06_TCT NUEVO BAZTÁN'!$F$6:$T$28,15,FALSE),"")</f>
        <v/>
      </c>
      <c r="W152" s="138" t="e">
        <f t="shared" si="112"/>
        <v>#VALUE!</v>
      </c>
      <c r="X152" s="139" t="e">
        <f t="shared" si="113"/>
        <v>#VALUE!</v>
      </c>
      <c r="Y152" s="140" t="str">
        <f t="shared" si="114"/>
        <v>Sí</v>
      </c>
      <c r="Z152" s="141">
        <f t="shared" si="115"/>
        <v>6</v>
      </c>
      <c r="AA152" s="148"/>
      <c r="AB152" s="262"/>
    </row>
    <row r="153" spans="2:39" ht="12.75" customHeight="1" x14ac:dyDescent="0.3">
      <c r="B153" s="147"/>
      <c r="C153" s="147"/>
      <c r="D153" s="147"/>
      <c r="E153" s="147"/>
      <c r="F153" s="147"/>
      <c r="G153" s="147"/>
      <c r="H153" s="147"/>
      <c r="I153" s="147"/>
      <c r="J153" s="147"/>
      <c r="K153" s="147"/>
      <c r="L153" s="147"/>
      <c r="M153" s="147"/>
      <c r="N153" s="147"/>
      <c r="O153" s="147"/>
      <c r="P153" s="147"/>
      <c r="Q153" s="147"/>
      <c r="R153" s="147"/>
      <c r="S153" s="147"/>
      <c r="T153" s="147"/>
      <c r="U153" s="147"/>
      <c r="V153" s="147"/>
      <c r="W153" s="147"/>
      <c r="X153" s="147"/>
      <c r="Y153" s="240"/>
      <c r="Z153" s="127"/>
      <c r="AA153" s="148"/>
      <c r="AB153" s="262"/>
    </row>
    <row r="154" spans="2:39" ht="3.75" customHeight="1" x14ac:dyDescent="0.3">
      <c r="B154" s="155"/>
      <c r="F154" s="155"/>
      <c r="G154" s="155"/>
      <c r="H154" s="155"/>
      <c r="I154" s="155"/>
      <c r="J154" s="155"/>
      <c r="K154" s="155"/>
      <c r="L154" s="155"/>
      <c r="M154" s="155"/>
      <c r="N154" s="155"/>
      <c r="O154" s="155"/>
      <c r="P154" s="155"/>
      <c r="Q154" s="155"/>
      <c r="R154" s="155"/>
      <c r="S154" s="155"/>
      <c r="T154" s="155"/>
      <c r="U154" s="155"/>
      <c r="V154" s="155"/>
      <c r="W154" s="155"/>
      <c r="X154" s="155"/>
      <c r="Y154" s="147"/>
      <c r="Z154" s="127"/>
      <c r="AA154" s="148"/>
      <c r="AB154" s="262"/>
      <c r="AC154" s="8"/>
      <c r="AD154" s="8"/>
      <c r="AE154" s="8"/>
      <c r="AF154" s="8"/>
      <c r="AG154" s="8"/>
      <c r="AH154" s="8"/>
      <c r="AI154" s="8"/>
      <c r="AJ154" s="8"/>
      <c r="AK154" s="8"/>
      <c r="AL154" s="158"/>
      <c r="AM154" s="8"/>
    </row>
    <row r="155" spans="2:39" ht="12.75" customHeight="1" x14ac:dyDescent="0.3">
      <c r="B155" s="1"/>
      <c r="C155" s="235"/>
      <c r="D155" s="284"/>
      <c r="E155" s="285" t="s">
        <v>534</v>
      </c>
      <c r="F155" s="147"/>
      <c r="G155" s="147"/>
      <c r="H155" s="147"/>
      <c r="I155" s="147"/>
      <c r="J155" s="147"/>
      <c r="K155" s="147"/>
      <c r="L155" s="147"/>
      <c r="M155" s="147"/>
      <c r="N155" s="147"/>
      <c r="O155" s="147"/>
      <c r="P155" s="147"/>
      <c r="Q155" s="147"/>
      <c r="R155" s="147"/>
      <c r="S155" s="147"/>
      <c r="T155" s="147"/>
      <c r="U155" s="147"/>
      <c r="V155" s="147"/>
      <c r="W155" s="147"/>
      <c r="X155" s="147"/>
      <c r="Y155" s="147"/>
      <c r="Z155" s="147"/>
      <c r="AA155" s="148"/>
      <c r="AB155" s="262"/>
    </row>
    <row r="156" spans="2:39" ht="3.65" customHeight="1" x14ac:dyDescent="0.3">
      <c r="B156" s="155"/>
      <c r="C156" s="236"/>
      <c r="D156" s="155"/>
      <c r="E156" s="155"/>
      <c r="F156" s="147"/>
      <c r="G156" s="147"/>
      <c r="H156" s="147"/>
      <c r="I156" s="147"/>
      <c r="J156" s="147"/>
      <c r="K156" s="147"/>
      <c r="L156" s="147"/>
      <c r="M156" s="147"/>
      <c r="N156" s="147"/>
      <c r="O156" s="147"/>
      <c r="P156" s="147"/>
      <c r="Q156" s="147"/>
      <c r="R156" s="147"/>
      <c r="S156" s="147"/>
      <c r="T156" s="147"/>
      <c r="U156" s="147"/>
      <c r="V156" s="147"/>
      <c r="W156" s="147"/>
      <c r="X156" s="147"/>
      <c r="Y156" s="147"/>
      <c r="Z156" s="7"/>
      <c r="AA156" s="7"/>
      <c r="AC156" s="8" t="e">
        <f>AC132+#REF!</f>
        <v>#REF!</v>
      </c>
      <c r="AD156" s="8" t="e">
        <f>AD132+#REF!</f>
        <v>#REF!</v>
      </c>
      <c r="AE156" s="8" t="e">
        <f>AE132+#REF!</f>
        <v>#REF!</v>
      </c>
      <c r="AF156" s="8" t="e">
        <f>AF132+#REF!</f>
        <v>#REF!</v>
      </c>
      <c r="AG156" s="8" t="e">
        <f>AG132+#REF!</f>
        <v>#REF!</v>
      </c>
      <c r="AH156" s="8" t="e">
        <f>AH132+#REF!</f>
        <v>#REF!</v>
      </c>
      <c r="AI156" s="8"/>
      <c r="AJ156" s="8"/>
      <c r="AK156" s="8"/>
      <c r="AL156" s="9"/>
      <c r="AM156" s="8" t="e">
        <f>SUM(AD156:AJ156)</f>
        <v>#REF!</v>
      </c>
    </row>
    <row r="157" spans="2:39" ht="12" x14ac:dyDescent="0.3">
      <c r="B157" s="155"/>
      <c r="C157" s="236" t="s">
        <v>659</v>
      </c>
      <c r="D157" s="237" t="s">
        <v>273</v>
      </c>
      <c r="E157" s="155"/>
      <c r="F157" s="147"/>
      <c r="G157" s="147"/>
      <c r="H157" s="147"/>
      <c r="I157" s="147"/>
      <c r="J157" s="147"/>
      <c r="K157" s="147"/>
      <c r="L157" s="147"/>
      <c r="M157" s="147"/>
      <c r="N157" s="147"/>
      <c r="O157" s="147"/>
      <c r="P157" s="147"/>
      <c r="Q157" s="147"/>
      <c r="R157" s="147"/>
      <c r="S157" s="147"/>
      <c r="T157" s="147"/>
      <c r="U157" s="147"/>
      <c r="V157" s="147"/>
      <c r="W157" s="147"/>
      <c r="X157" s="147"/>
      <c r="Y157" s="147"/>
      <c r="Z157" s="7"/>
      <c r="AA157" s="7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</row>
    <row r="158" spans="2:39" ht="12" x14ac:dyDescent="0.3">
      <c r="B158" s="155"/>
      <c r="C158" s="236"/>
      <c r="D158" s="155"/>
      <c r="E158" s="155"/>
      <c r="F158" s="147"/>
      <c r="G158" s="147"/>
      <c r="H158" s="147"/>
      <c r="I158" s="147"/>
      <c r="J158" s="147"/>
      <c r="K158" s="147"/>
      <c r="L158" s="147"/>
      <c r="M158" s="147"/>
      <c r="N158" s="147"/>
      <c r="O158" s="147"/>
      <c r="P158" s="147"/>
      <c r="Q158" s="147"/>
      <c r="R158" s="147"/>
      <c r="S158" s="147"/>
      <c r="T158" s="147"/>
      <c r="U158" s="147"/>
      <c r="V158" s="147"/>
      <c r="W158" s="147"/>
      <c r="X158" s="147"/>
      <c r="Y158" s="147"/>
      <c r="Z158" s="7"/>
      <c r="AA158" s="7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</row>
    <row r="159" spans="2:39" ht="39" customHeight="1" x14ac:dyDescent="0.55000000000000004">
      <c r="B159" s="164" t="s">
        <v>516</v>
      </c>
      <c r="C159" s="165"/>
      <c r="D159" s="165"/>
      <c r="E159" s="165"/>
      <c r="F159" s="165"/>
      <c r="G159" s="165"/>
      <c r="H159" s="165"/>
      <c r="I159" s="165"/>
      <c r="J159" s="165"/>
      <c r="K159" s="165"/>
      <c r="L159" s="165"/>
      <c r="M159" s="165"/>
      <c r="N159" s="165"/>
      <c r="O159" s="165"/>
      <c r="P159" s="165"/>
      <c r="Q159" s="165"/>
      <c r="R159" s="165"/>
      <c r="S159" s="165"/>
      <c r="T159" s="165"/>
      <c r="U159" s="165"/>
      <c r="V159" s="165"/>
      <c r="W159" s="165"/>
      <c r="X159" s="165"/>
    </row>
    <row r="160" spans="2:39" ht="37.5" customHeight="1" x14ac:dyDescent="0.3">
      <c r="B160" s="166" t="s">
        <v>533</v>
      </c>
      <c r="C160" s="167"/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  <c r="V160" s="167"/>
      <c r="W160" s="167"/>
      <c r="X160" s="167"/>
      <c r="Y160" s="30"/>
      <c r="Z160" s="30"/>
    </row>
    <row r="161" spans="2:35" ht="12.75" customHeight="1" x14ac:dyDescent="0.3">
      <c r="B161" s="162"/>
      <c r="C161" s="168"/>
      <c r="D161" s="161"/>
      <c r="E161" s="161"/>
      <c r="F161" s="222" t="s">
        <v>220</v>
      </c>
      <c r="G161" s="223"/>
      <c r="H161" s="224"/>
      <c r="I161" s="222" t="s">
        <v>663</v>
      </c>
      <c r="J161" s="225"/>
      <c r="K161" s="226"/>
      <c r="L161" s="222" t="s">
        <v>532</v>
      </c>
      <c r="M161" s="225"/>
      <c r="N161" s="226"/>
      <c r="O161" s="222" t="s">
        <v>526</v>
      </c>
      <c r="P161" s="225"/>
      <c r="Q161" s="226"/>
      <c r="R161" s="222" t="s">
        <v>287</v>
      </c>
      <c r="S161" s="225"/>
      <c r="T161" s="226"/>
      <c r="U161" s="413" t="s">
        <v>527</v>
      </c>
      <c r="V161" s="226"/>
      <c r="W161" s="226"/>
      <c r="X161" s="161" t="s">
        <v>213</v>
      </c>
      <c r="Y161" s="30"/>
      <c r="Z161" s="30"/>
    </row>
    <row r="162" spans="2:35" ht="12.75" customHeight="1" x14ac:dyDescent="0.3">
      <c r="B162" s="159" t="s">
        <v>0</v>
      </c>
      <c r="C162" s="170" t="s">
        <v>166</v>
      </c>
      <c r="D162" s="160" t="s">
        <v>2</v>
      </c>
      <c r="E162" s="160" t="s">
        <v>3</v>
      </c>
      <c r="F162" s="217" t="s">
        <v>523</v>
      </c>
      <c r="G162" s="218"/>
      <c r="H162" s="219"/>
      <c r="I162" s="217" t="s">
        <v>525</v>
      </c>
      <c r="J162" s="220"/>
      <c r="K162" s="221"/>
      <c r="L162" s="217" t="s">
        <v>664</v>
      </c>
      <c r="M162" s="220"/>
      <c r="N162" s="221"/>
      <c r="O162" s="217" t="s">
        <v>529</v>
      </c>
      <c r="P162" s="220"/>
      <c r="Q162" s="221"/>
      <c r="R162" s="217" t="s">
        <v>530</v>
      </c>
      <c r="S162" s="220"/>
      <c r="T162" s="221"/>
      <c r="U162" s="414" t="s">
        <v>528</v>
      </c>
      <c r="V162" s="255"/>
      <c r="W162" s="415"/>
      <c r="X162" s="160" t="s">
        <v>9</v>
      </c>
      <c r="Y162" s="519" t="s">
        <v>223</v>
      </c>
      <c r="Z162" s="521" t="s">
        <v>4</v>
      </c>
    </row>
    <row r="163" spans="2:35" ht="12.75" customHeight="1" thickBot="1" x14ac:dyDescent="0.35">
      <c r="B163" s="163"/>
      <c r="C163" s="169"/>
      <c r="D163" s="157"/>
      <c r="E163" s="157"/>
      <c r="F163" s="131" t="s">
        <v>33</v>
      </c>
      <c r="G163" s="131" t="s">
        <v>34</v>
      </c>
      <c r="H163" s="132" t="s">
        <v>35</v>
      </c>
      <c r="I163" s="131" t="s">
        <v>33</v>
      </c>
      <c r="J163" s="131" t="s">
        <v>34</v>
      </c>
      <c r="K163" s="132" t="s">
        <v>35</v>
      </c>
      <c r="L163" s="131" t="s">
        <v>33</v>
      </c>
      <c r="M163" s="131" t="s">
        <v>34</v>
      </c>
      <c r="N163" s="132" t="s">
        <v>35</v>
      </c>
      <c r="O163" s="131" t="s">
        <v>33</v>
      </c>
      <c r="P163" s="131" t="s">
        <v>34</v>
      </c>
      <c r="Q163" s="132" t="s">
        <v>35</v>
      </c>
      <c r="R163" s="131" t="s">
        <v>33</v>
      </c>
      <c r="S163" s="131" t="s">
        <v>34</v>
      </c>
      <c r="T163" s="132" t="s">
        <v>35</v>
      </c>
      <c r="U163" s="131" t="s">
        <v>33</v>
      </c>
      <c r="V163" s="131" t="s">
        <v>34</v>
      </c>
      <c r="W163" s="132" t="s">
        <v>35</v>
      </c>
      <c r="X163" s="157"/>
      <c r="Y163" s="520"/>
      <c r="Z163" s="522"/>
    </row>
    <row r="164" spans="2:35" ht="12.75" customHeight="1" thickBot="1" x14ac:dyDescent="0.35">
      <c r="B164" s="133">
        <v>1</v>
      </c>
      <c r="C164" s="142" t="s">
        <v>575</v>
      </c>
      <c r="D164" s="484">
        <v>2</v>
      </c>
      <c r="E164" s="477" t="str">
        <f t="shared" ref="E164:E176" si="165">LEFT(AB164,LEN(AB164)-2)</f>
        <v>2</v>
      </c>
      <c r="F164" s="135">
        <f>IFERROR(VLOOKUP(C164,'01_RS ALCARRIA'!$F$6:$R$36,13,FALSE),"")</f>
        <v>25</v>
      </c>
      <c r="G164" s="135">
        <f>IFERROR(VLOOKUP(C164,'01_RS ALCARRIA'!$F$6:$T$36,15,FALSE),"")</f>
        <v>10</v>
      </c>
      <c r="H164" s="138">
        <f>(F164+G164)*2</f>
        <v>70</v>
      </c>
      <c r="I164" s="135">
        <f>IFERROR(VLOOKUP(C164,'02_TCT GUADAMUR'!$F$6:$R$36,13,FALSE),"")</f>
        <v>17</v>
      </c>
      <c r="J164" s="135">
        <f>IFERROR(VLOOKUP(C164,'02_TCT GUADAMUR'!$F$6:$T$36,15,FALSE),"")</f>
        <v>6</v>
      </c>
      <c r="K164" s="138">
        <f>(I164+J164)</f>
        <v>23</v>
      </c>
      <c r="L164" s="135">
        <f>IFERROR(VLOOKUP(C164,'03_TCT MAQUEDA'!$F$6:$R$36,13,FALSE),"")</f>
        <v>17</v>
      </c>
      <c r="M164" s="135">
        <f>IFERROR(VLOOKUP(C164,'03_TCT MAQUEDA'!$F$6:$T$36,15,FALSE),"")</f>
        <v>10</v>
      </c>
      <c r="N164" s="138">
        <f>(L164+M164)</f>
        <v>27</v>
      </c>
      <c r="O164" s="135" t="str">
        <f>IFERROR(VLOOKUP(C164,'04_RALLYE CAM'!$F$6:$R$36,13,FALSE),"")</f>
        <v/>
      </c>
      <c r="P164" s="135" t="str">
        <f>IFERROR(VLOOKUP(C164,'04_RALLYE CAM'!$F$6:$T$36,15,FALSE),"")</f>
        <v/>
      </c>
      <c r="Q164" s="138" t="e">
        <f>(O164+P164)*3</f>
        <v>#VALUE!</v>
      </c>
      <c r="R164" s="135" t="str">
        <f>IFERROR(VLOOKUP(C164,'05_RS NAVALCARNERO'!$F$6:$R$28,13,FALSE),"")</f>
        <v/>
      </c>
      <c r="S164" s="135" t="str">
        <f>IFERROR(VLOOKUP(C164,'05_RS NAVALCARNERO'!$F$6:$T$28,15,FALSE),"")</f>
        <v/>
      </c>
      <c r="T164" s="138" t="e">
        <f>(R164+S164)*2</f>
        <v>#VALUE!</v>
      </c>
      <c r="U164" s="135" t="str">
        <f>IFERROR(VLOOKUP(C164,'06_TCT NUEVO BAZTÁN'!$F$6:$R$28,13,FALSE),"")</f>
        <v/>
      </c>
      <c r="V164" s="135" t="str">
        <f>IFERROR(VLOOKUP(C164,'06_TCT NUEVO BAZTÁN'!$F$6:$T$28,15,FALSE),"")</f>
        <v/>
      </c>
      <c r="W164" s="138" t="e">
        <f>(U164+V164)</f>
        <v>#VALUE!</v>
      </c>
      <c r="X164" s="139" t="e">
        <f>H164+K164+N164+Q164+T164+W164</f>
        <v>#VALUE!</v>
      </c>
      <c r="Y164" s="140" t="str">
        <f>IF(Z164&gt;=3,"Sí","No")</f>
        <v>Sí</v>
      </c>
      <c r="Z164" s="141">
        <f>COUNTA(H164,K164,N164,Q164,T164,W164)</f>
        <v>6</v>
      </c>
      <c r="AA164" s="148"/>
      <c r="AB164" s="262" t="str">
        <f>IFERROR(VLOOKUP(C164,Tabla15[[Piloto2]:[Puntos clase5]],4, FALSE), " ")</f>
        <v>2RM</v>
      </c>
    </row>
    <row r="165" spans="2:35" ht="12.75" customHeight="1" x14ac:dyDescent="0.3">
      <c r="B165" s="133">
        <v>2</v>
      </c>
      <c r="C165" s="142" t="s">
        <v>577</v>
      </c>
      <c r="D165" s="481">
        <v>2</v>
      </c>
      <c r="E165" s="483" t="str">
        <f t="shared" si="165"/>
        <v>2</v>
      </c>
      <c r="F165" s="135">
        <f>IFERROR(VLOOKUP(C165,'01_RS ALCARRIA'!$F$6:$R$36,13,FALSE),"")</f>
        <v>20</v>
      </c>
      <c r="G165" s="135">
        <f>IFERROR(VLOOKUP(C165,'01_RS ALCARRIA'!$F$6:$T$36,15,FALSE),"")</f>
        <v>8</v>
      </c>
      <c r="H165" s="138">
        <f t="shared" ref="H165:H195" si="166">(F165+G165)*2</f>
        <v>56</v>
      </c>
      <c r="I165" s="135">
        <f>IFERROR(VLOOKUP(C165,'02_TCT GUADAMUR'!$F$6:$R$36,13,FALSE),"")</f>
        <v>25</v>
      </c>
      <c r="J165" s="135">
        <f>IFERROR(VLOOKUP(C165,'02_TCT GUADAMUR'!$F$6:$T$36,15,FALSE),"")</f>
        <v>10</v>
      </c>
      <c r="K165" s="138">
        <f t="shared" ref="K165:K195" si="167">(I165+J165)</f>
        <v>35</v>
      </c>
      <c r="L165" s="135">
        <f>IFERROR(VLOOKUP(C165,'03_TCT MAQUEDA'!$F$6:$R$36,13,FALSE),"")</f>
        <v>15</v>
      </c>
      <c r="M165" s="135">
        <f>IFERROR(VLOOKUP(C165,'03_TCT MAQUEDA'!$F$6:$T$36,15,FALSE),"")</f>
        <v>8</v>
      </c>
      <c r="N165" s="138">
        <f t="shared" ref="N165:N195" si="168">(L165+M165)</f>
        <v>23</v>
      </c>
      <c r="O165" s="135" t="str">
        <f>IFERROR(VLOOKUP(C165,'04_RALLYE CAM'!$F$6:$R$36,13,FALSE),"")</f>
        <v/>
      </c>
      <c r="P165" s="135" t="str">
        <f>IFERROR(VLOOKUP(C165,'04_RALLYE CAM'!$F$6:$T$36,15,FALSE),"")</f>
        <v/>
      </c>
      <c r="Q165" s="138" t="e">
        <f t="shared" ref="Q165:Q194" si="169">(O165+P165)*3</f>
        <v>#VALUE!</v>
      </c>
      <c r="R165" s="135" t="str">
        <f>IFERROR(VLOOKUP(C165,'05_RS NAVALCARNERO'!$F$6:$R$28,13,FALSE),"")</f>
        <v/>
      </c>
      <c r="S165" s="135" t="str">
        <f>IFERROR(VLOOKUP(C165,'05_RS NAVALCARNERO'!$F$6:$T$28,15,FALSE),"")</f>
        <v/>
      </c>
      <c r="T165" s="138" t="e">
        <f t="shared" ref="T165:T194" si="170">(R165+S165)*2</f>
        <v>#VALUE!</v>
      </c>
      <c r="U165" s="135" t="str">
        <f>IFERROR(VLOOKUP(C165,'06_TCT NUEVO BAZTÁN'!$F$6:$R$28,13,FALSE),"")</f>
        <v/>
      </c>
      <c r="V165" s="135" t="str">
        <f>IFERROR(VLOOKUP(C165,'06_TCT NUEVO BAZTÁN'!$F$6:$T$28,15,FALSE),"")</f>
        <v/>
      </c>
      <c r="W165" s="138" t="e">
        <f t="shared" ref="W165:W194" si="171">(U165+V165)</f>
        <v>#VALUE!</v>
      </c>
      <c r="X165" s="139" t="e">
        <f t="shared" ref="X165:X193" si="172">H165+K165+N165+Q165+T165+W165</f>
        <v>#VALUE!</v>
      </c>
      <c r="Y165" s="140" t="str">
        <f t="shared" ref="Y165:Y194" si="173">IF(Z165&gt;=3,"Sí","No")</f>
        <v>Sí</v>
      </c>
      <c r="Z165" s="141">
        <f t="shared" ref="Z165:Z194" si="174">COUNTA(H165,K165,N165,Q165,T165,W165)</f>
        <v>6</v>
      </c>
      <c r="AA165" s="148"/>
      <c r="AB165" s="262" t="str">
        <f>IFERROR(VLOOKUP(C165,Tabla15[[Piloto2]:[Puntos clase5]],4, FALSE), " ")</f>
        <v>2RM</v>
      </c>
    </row>
    <row r="166" spans="2:35" ht="12.75" customHeight="1" x14ac:dyDescent="0.3">
      <c r="B166" s="133">
        <v>1</v>
      </c>
      <c r="C166" s="134" t="s">
        <v>589</v>
      </c>
      <c r="D166" s="485">
        <v>1</v>
      </c>
      <c r="E166" s="483" t="str">
        <f t="shared" si="165"/>
        <v>4</v>
      </c>
      <c r="F166" s="135">
        <f>IFERROR(VLOOKUP(C166,'01_RS ALCARRIA'!$F$6:$R$36,13,FALSE),"")</f>
        <v>17</v>
      </c>
      <c r="G166" s="284">
        <f>IFERROR(VLOOKUP(C166,'01_RS ALCARRIA'!$F$6:$T$36,15,FALSE),"")/2</f>
        <v>5</v>
      </c>
      <c r="H166" s="138">
        <f t="shared" si="166"/>
        <v>44</v>
      </c>
      <c r="I166" s="135">
        <f>IFERROR(VLOOKUP(C166,'02_TCT GUADAMUR'!$F$6:$R$36,13,FALSE),"")</f>
        <v>15</v>
      </c>
      <c r="J166" s="135">
        <f>IFERROR(VLOOKUP(C166,'02_TCT GUADAMUR'!$F$6:$T$36,15,FALSE),"")</f>
        <v>10</v>
      </c>
      <c r="K166" s="138">
        <f t="shared" si="167"/>
        <v>25</v>
      </c>
      <c r="L166" s="135">
        <v>0</v>
      </c>
      <c r="M166" s="135">
        <v>0</v>
      </c>
      <c r="N166" s="138">
        <f t="shared" si="168"/>
        <v>0</v>
      </c>
      <c r="O166" s="135" t="str">
        <f>IFERROR(VLOOKUP(C166,'04_RALLYE CAM'!$F$6:$R$36,13,FALSE),"")</f>
        <v/>
      </c>
      <c r="P166" s="135" t="str">
        <f>IFERROR(VLOOKUP(C166,'04_RALLYE CAM'!$F$6:$T$36,15,FALSE),"")</f>
        <v/>
      </c>
      <c r="Q166" s="138" t="e">
        <f t="shared" si="169"/>
        <v>#VALUE!</v>
      </c>
      <c r="R166" s="135" t="str">
        <f>IFERROR(VLOOKUP(C166,'05_RS NAVALCARNERO'!$F$6:$R$28,13,FALSE),"")</f>
        <v/>
      </c>
      <c r="S166" s="135" t="str">
        <f>IFERROR(VLOOKUP(C166,'05_RS NAVALCARNERO'!$F$6:$T$28,15,FALSE),"")</f>
        <v/>
      </c>
      <c r="T166" s="138" t="e">
        <f t="shared" si="170"/>
        <v>#VALUE!</v>
      </c>
      <c r="U166" s="135" t="str">
        <f>IFERROR(VLOOKUP(C166,'06_TCT NUEVO BAZTÁN'!$F$6:$R$28,13,FALSE),"")</f>
        <v/>
      </c>
      <c r="V166" s="135" t="str">
        <f>IFERROR(VLOOKUP(C166,'06_TCT NUEVO BAZTÁN'!$F$6:$T$28,15,FALSE),"")</f>
        <v/>
      </c>
      <c r="W166" s="138" t="e">
        <f t="shared" si="171"/>
        <v>#VALUE!</v>
      </c>
      <c r="X166" s="139" t="e">
        <f t="shared" si="172"/>
        <v>#VALUE!</v>
      </c>
      <c r="Y166" s="140" t="str">
        <f t="shared" si="173"/>
        <v>Sí</v>
      </c>
      <c r="Z166" s="141">
        <f t="shared" si="174"/>
        <v>6</v>
      </c>
      <c r="AA166" s="148"/>
      <c r="AB166" s="262" t="str">
        <f>IFERROR(VLOOKUP(C166,Tabla15[[Piloto2]:[Puntos clase5]],4, FALSE), " ")</f>
        <v>4RM</v>
      </c>
    </row>
    <row r="167" spans="2:35" ht="12.75" customHeight="1" x14ac:dyDescent="0.3">
      <c r="B167" s="133">
        <v>1</v>
      </c>
      <c r="C167" s="142" t="s">
        <v>590</v>
      </c>
      <c r="D167" s="486">
        <v>3</v>
      </c>
      <c r="E167" s="482" t="str">
        <f t="shared" si="165"/>
        <v>2</v>
      </c>
      <c r="F167" s="135">
        <f>IFERROR(VLOOKUP(C167,'01_RS ALCARRIA'!$F$6:$R$36,13,FALSE),"")</f>
        <v>15</v>
      </c>
      <c r="G167" s="135">
        <f>IFERROR(VLOOKUP(C167,'01_RS ALCARRIA'!$F$6:$T$36,15,FALSE),"")</f>
        <v>10</v>
      </c>
      <c r="H167" s="138">
        <f t="shared" si="166"/>
        <v>50</v>
      </c>
      <c r="I167" s="135">
        <f>IFERROR(VLOOKUP(C167,'02_TCT GUADAMUR'!$F$6:$R$36,13,FALSE),"")</f>
        <v>12</v>
      </c>
      <c r="J167" s="135">
        <f>IFERROR(VLOOKUP(C167,'02_TCT GUADAMUR'!$F$6:$T$36,15,FALSE),"")</f>
        <v>10</v>
      </c>
      <c r="K167" s="138">
        <f t="shared" si="167"/>
        <v>22</v>
      </c>
      <c r="L167" s="135">
        <f>IFERROR(VLOOKUP(C167,'03_TCT MAQUEDA'!$F$6:$R$36,13,FALSE),"")</f>
        <v>8</v>
      </c>
      <c r="M167" s="135">
        <f>IFERROR(VLOOKUP(C167,'03_TCT MAQUEDA'!$F$6:$T$36,15,FALSE),"")</f>
        <v>10</v>
      </c>
      <c r="N167" s="138">
        <f t="shared" si="168"/>
        <v>18</v>
      </c>
      <c r="O167" s="135" t="str">
        <f>IFERROR(VLOOKUP(C167,'04_RALLYE CAM'!$F$6:$R$36,13,FALSE),"")</f>
        <v/>
      </c>
      <c r="P167" s="135" t="str">
        <f>IFERROR(VLOOKUP(C167,'04_RALLYE CAM'!$F$6:$T$36,15,FALSE),"")</f>
        <v/>
      </c>
      <c r="Q167" s="138" t="e">
        <f t="shared" si="169"/>
        <v>#VALUE!</v>
      </c>
      <c r="R167" s="135" t="str">
        <f>IFERROR(VLOOKUP(C167,'05_RS NAVALCARNERO'!$F$6:$R$28,13,FALSE),"")</f>
        <v/>
      </c>
      <c r="S167" s="135" t="str">
        <f>IFERROR(VLOOKUP(C167,'05_RS NAVALCARNERO'!$F$6:$T$28,15,FALSE),"")</f>
        <v/>
      </c>
      <c r="T167" s="138" t="e">
        <f t="shared" si="170"/>
        <v>#VALUE!</v>
      </c>
      <c r="U167" s="135" t="str">
        <f>IFERROR(VLOOKUP(C167,'06_TCT NUEVO BAZTÁN'!$F$6:$R$28,13,FALSE),"")</f>
        <v/>
      </c>
      <c r="V167" s="135" t="str">
        <f>IFERROR(VLOOKUP(C167,'06_TCT NUEVO BAZTÁN'!$F$6:$T$28,15,FALSE),"")</f>
        <v/>
      </c>
      <c r="W167" s="138" t="e">
        <f t="shared" si="171"/>
        <v>#VALUE!</v>
      </c>
      <c r="X167" s="139" t="e">
        <f t="shared" si="172"/>
        <v>#VALUE!</v>
      </c>
      <c r="Y167" s="140" t="str">
        <f t="shared" si="173"/>
        <v>Sí</v>
      </c>
      <c r="Z167" s="141">
        <f t="shared" si="174"/>
        <v>6</v>
      </c>
      <c r="AA167" s="148"/>
      <c r="AB167" s="262" t="str">
        <f>IFERROR(VLOOKUP(C167,Tabla15[[Piloto2]:[Puntos clase5]],4, FALSE), " ")</f>
        <v>2RM</v>
      </c>
    </row>
    <row r="168" spans="2:35" ht="12.75" customHeight="1" x14ac:dyDescent="0.3">
      <c r="B168" s="133">
        <v>2</v>
      </c>
      <c r="C168" s="142" t="s">
        <v>457</v>
      </c>
      <c r="D168" s="482">
        <v>3</v>
      </c>
      <c r="E168" s="482" t="str">
        <f t="shared" si="165"/>
        <v>2</v>
      </c>
      <c r="F168" s="135">
        <f>IFERROR(VLOOKUP(C168,'01_RS ALCARRIA'!$F$6:$R$36,13,FALSE),"")</f>
        <v>12</v>
      </c>
      <c r="G168" s="135">
        <f>IFERROR(VLOOKUP(C168,'01_RS ALCARRIA'!$F$6:$T$36,15,FALSE),"")</f>
        <v>8</v>
      </c>
      <c r="H168" s="138">
        <f t="shared" si="166"/>
        <v>40</v>
      </c>
      <c r="I168" s="135" t="str">
        <f>IFERROR(VLOOKUP(C168,'02_TCT GUADAMUR'!$F$6:$R$36,13,FALSE),"")</f>
        <v/>
      </c>
      <c r="J168" s="135" t="str">
        <f>IFERROR(VLOOKUP(C168,'02_TCT GUADAMUR'!$F$6:$T$36,15,FALSE),"")</f>
        <v/>
      </c>
      <c r="K168" s="138" t="e">
        <f t="shared" si="167"/>
        <v>#VALUE!</v>
      </c>
      <c r="L168" s="135" t="str">
        <f>IFERROR(VLOOKUP(C168,'03_TCT MAQUEDA'!$F$6:$R$36,13,FALSE),"")</f>
        <v/>
      </c>
      <c r="M168" s="135" t="str">
        <f>IFERROR(VLOOKUP(C168,'03_TCT MAQUEDA'!$F$6:$T$36,15,FALSE),"")</f>
        <v/>
      </c>
      <c r="N168" s="138" t="e">
        <f t="shared" si="168"/>
        <v>#VALUE!</v>
      </c>
      <c r="O168" s="135" t="str">
        <f>IFERROR(VLOOKUP(C168,'04_RALLYE CAM'!$F$6:$R$36,13,FALSE),"")</f>
        <v/>
      </c>
      <c r="P168" s="135" t="str">
        <f>IFERROR(VLOOKUP(C168,'04_RALLYE CAM'!$F$6:$T$36,15,FALSE),"")</f>
        <v/>
      </c>
      <c r="Q168" s="138" t="e">
        <f t="shared" si="169"/>
        <v>#VALUE!</v>
      </c>
      <c r="R168" s="135" t="str">
        <f>IFERROR(VLOOKUP(C168,'05_RS NAVALCARNERO'!$F$6:$R$28,13,FALSE),"")</f>
        <v/>
      </c>
      <c r="S168" s="135" t="str">
        <f>IFERROR(VLOOKUP(C168,'05_RS NAVALCARNERO'!$F$6:$T$28,15,FALSE),"")</f>
        <v/>
      </c>
      <c r="T168" s="138" t="e">
        <f t="shared" si="170"/>
        <v>#VALUE!</v>
      </c>
      <c r="U168" s="135" t="str">
        <f>IFERROR(VLOOKUP(C168,'06_TCT NUEVO BAZTÁN'!$F$6:$R$28,13,FALSE),"")</f>
        <v/>
      </c>
      <c r="V168" s="135" t="str">
        <f>IFERROR(VLOOKUP(C168,'06_TCT NUEVO BAZTÁN'!$F$6:$T$28,15,FALSE),"")</f>
        <v/>
      </c>
      <c r="W168" s="138" t="e">
        <f t="shared" si="171"/>
        <v>#VALUE!</v>
      </c>
      <c r="X168" s="139" t="e">
        <f t="shared" si="172"/>
        <v>#VALUE!</v>
      </c>
      <c r="Y168" s="140" t="str">
        <f t="shared" si="173"/>
        <v>Sí</v>
      </c>
      <c r="Z168" s="141">
        <f t="shared" si="174"/>
        <v>6</v>
      </c>
      <c r="AA168" s="148"/>
      <c r="AB168" s="262" t="str">
        <f>IFERROR(VLOOKUP(C168,Tabla15[[Piloto2]:[Puntos clase5]],4, FALSE), " ")</f>
        <v>2RM</v>
      </c>
    </row>
    <row r="169" spans="2:35" ht="12.75" customHeight="1" x14ac:dyDescent="0.3">
      <c r="B169" s="133">
        <v>3</v>
      </c>
      <c r="C169" s="142" t="s">
        <v>594</v>
      </c>
      <c r="D169" s="482">
        <v>3</v>
      </c>
      <c r="E169" s="482" t="str">
        <f t="shared" si="165"/>
        <v>2</v>
      </c>
      <c r="F169" s="135">
        <f>IFERROR(VLOOKUP(C169,'01_RS ALCARRIA'!$F$6:$R$36,13,FALSE),"")</f>
        <v>10</v>
      </c>
      <c r="G169" s="135">
        <f>IFERROR(VLOOKUP(C169,'01_RS ALCARRIA'!$F$6:$T$36,15,FALSE),"")</f>
        <v>6</v>
      </c>
      <c r="H169" s="138">
        <f t="shared" si="166"/>
        <v>32</v>
      </c>
      <c r="I169" s="135" t="str">
        <f>IFERROR(VLOOKUP(C169,'02_TCT GUADAMUR'!$F$6:$R$36,13,FALSE),"")</f>
        <v/>
      </c>
      <c r="J169" s="135" t="str">
        <f>IFERROR(VLOOKUP(C169,'02_TCT GUADAMUR'!$F$6:$T$36,15,FALSE),"")</f>
        <v/>
      </c>
      <c r="K169" s="138" t="e">
        <f t="shared" si="167"/>
        <v>#VALUE!</v>
      </c>
      <c r="L169" s="135" t="str">
        <f>IFERROR(VLOOKUP(C169,'03_TCT MAQUEDA'!$F$6:$R$36,13,FALSE),"")</f>
        <v/>
      </c>
      <c r="M169" s="135" t="str">
        <f>IFERROR(VLOOKUP(C169,'03_TCT MAQUEDA'!$F$6:$T$36,15,FALSE),"")</f>
        <v/>
      </c>
      <c r="N169" s="138" t="e">
        <f t="shared" si="168"/>
        <v>#VALUE!</v>
      </c>
      <c r="O169" s="135" t="str">
        <f>IFERROR(VLOOKUP(C169,'04_RALLYE CAM'!$F$6:$R$36,13,FALSE),"")</f>
        <v/>
      </c>
      <c r="P169" s="135" t="str">
        <f>IFERROR(VLOOKUP(C169,'04_RALLYE CAM'!$F$6:$T$36,15,FALSE),"")</f>
        <v/>
      </c>
      <c r="Q169" s="138" t="e">
        <f t="shared" si="169"/>
        <v>#VALUE!</v>
      </c>
      <c r="R169" s="135" t="str">
        <f>IFERROR(VLOOKUP(C169,'05_RS NAVALCARNERO'!$F$6:$R$28,13,FALSE),"")</f>
        <v/>
      </c>
      <c r="S169" s="135" t="str">
        <f>IFERROR(VLOOKUP(C169,'05_RS NAVALCARNERO'!$F$6:$T$28,15,FALSE),"")</f>
        <v/>
      </c>
      <c r="T169" s="138" t="e">
        <f t="shared" si="170"/>
        <v>#VALUE!</v>
      </c>
      <c r="U169" s="135" t="str">
        <f>IFERROR(VLOOKUP(C169,'06_TCT NUEVO BAZTÁN'!$F$6:$R$28,13,FALSE),"")</f>
        <v/>
      </c>
      <c r="V169" s="135" t="str">
        <f>IFERROR(VLOOKUP(C169,'06_TCT NUEVO BAZTÁN'!$F$6:$T$28,15,FALSE),"")</f>
        <v/>
      </c>
      <c r="W169" s="138" t="e">
        <f t="shared" si="171"/>
        <v>#VALUE!</v>
      </c>
      <c r="X169" s="139" t="e">
        <f t="shared" si="172"/>
        <v>#VALUE!</v>
      </c>
      <c r="Y169" s="140" t="str">
        <f t="shared" si="173"/>
        <v>Sí</v>
      </c>
      <c r="Z169" s="141">
        <f t="shared" si="174"/>
        <v>6</v>
      </c>
      <c r="AA169" s="148"/>
      <c r="AB169" s="262" t="str">
        <f>IFERROR(VLOOKUP(C169,Tabla15[[Piloto2]:[Puntos clase5]],4, FALSE), " ")</f>
        <v>2RM</v>
      </c>
    </row>
    <row r="170" spans="2:35" ht="12.75" customHeight="1" x14ac:dyDescent="0.3">
      <c r="B170" s="133">
        <v>4</v>
      </c>
      <c r="C170" s="142" t="s">
        <v>596</v>
      </c>
      <c r="D170" s="482">
        <v>3</v>
      </c>
      <c r="E170" s="482" t="str">
        <f t="shared" si="165"/>
        <v>2</v>
      </c>
      <c r="F170" s="135">
        <f>IFERROR(VLOOKUP(C170,'01_RS ALCARRIA'!$F$6:$R$36,13,FALSE),"")</f>
        <v>8</v>
      </c>
      <c r="G170" s="135">
        <f>IFERROR(VLOOKUP(C170,'01_RS ALCARRIA'!$F$6:$T$36,15,FALSE),"")</f>
        <v>5</v>
      </c>
      <c r="H170" s="138">
        <f t="shared" si="166"/>
        <v>26</v>
      </c>
      <c r="I170" s="135">
        <f>IFERROR(VLOOKUP(C170,'02_TCT GUADAMUR'!$F$6:$R$36,13,FALSE),"")</f>
        <v>4</v>
      </c>
      <c r="J170" s="135">
        <f>IFERROR(VLOOKUP(C170,'02_TCT GUADAMUR'!$F$6:$T$36,15,FALSE),"")</f>
        <v>6</v>
      </c>
      <c r="K170" s="138">
        <f t="shared" si="167"/>
        <v>10</v>
      </c>
      <c r="L170" s="135">
        <f>IFERROR(VLOOKUP(C170,'03_TCT MAQUEDA'!$F$6:$R$36,13,FALSE),"")</f>
        <v>3</v>
      </c>
      <c r="M170" s="135">
        <f>IFERROR(VLOOKUP(C170,'03_TCT MAQUEDA'!$F$6:$T$36,15,FALSE),"")</f>
        <v>6</v>
      </c>
      <c r="N170" s="138">
        <f t="shared" si="168"/>
        <v>9</v>
      </c>
      <c r="O170" s="135" t="str">
        <f>IFERROR(VLOOKUP(C170,'04_RALLYE CAM'!$F$6:$R$36,13,FALSE),"")</f>
        <v/>
      </c>
      <c r="P170" s="135" t="str">
        <f>IFERROR(VLOOKUP(C170,'04_RALLYE CAM'!$F$6:$T$36,15,FALSE),"")</f>
        <v/>
      </c>
      <c r="Q170" s="138" t="e">
        <f t="shared" si="169"/>
        <v>#VALUE!</v>
      </c>
      <c r="R170" s="135" t="str">
        <f>IFERROR(VLOOKUP(C170,'05_RS NAVALCARNERO'!$F$6:$R$28,13,FALSE),"")</f>
        <v/>
      </c>
      <c r="S170" s="135" t="str">
        <f>IFERROR(VLOOKUP(C170,'05_RS NAVALCARNERO'!$F$6:$T$28,15,FALSE),"")</f>
        <v/>
      </c>
      <c r="T170" s="138" t="e">
        <f t="shared" si="170"/>
        <v>#VALUE!</v>
      </c>
      <c r="U170" s="135" t="str">
        <f>IFERROR(VLOOKUP(C170,'06_TCT NUEVO BAZTÁN'!$F$6:$R$28,13,FALSE),"")</f>
        <v/>
      </c>
      <c r="V170" s="135" t="str">
        <f>IFERROR(VLOOKUP(C170,'06_TCT NUEVO BAZTÁN'!$F$6:$T$28,15,FALSE),"")</f>
        <v/>
      </c>
      <c r="W170" s="138" t="e">
        <f t="shared" si="171"/>
        <v>#VALUE!</v>
      </c>
      <c r="X170" s="139" t="e">
        <f t="shared" si="172"/>
        <v>#VALUE!</v>
      </c>
      <c r="Y170" s="140" t="str">
        <f t="shared" si="173"/>
        <v>Sí</v>
      </c>
      <c r="Z170" s="141">
        <f t="shared" si="174"/>
        <v>6</v>
      </c>
      <c r="AA170" s="148"/>
      <c r="AB170" s="262" t="str">
        <f>IFERROR(VLOOKUP(C170,Tabla15[[Piloto2]:[Puntos clase5]],4, FALSE), " ")</f>
        <v>2RM</v>
      </c>
    </row>
    <row r="171" spans="2:35" ht="12.75" customHeight="1" x14ac:dyDescent="0.3">
      <c r="B171" s="133">
        <v>1</v>
      </c>
      <c r="C171" s="142" t="s">
        <v>598</v>
      </c>
      <c r="D171" s="486">
        <v>5</v>
      </c>
      <c r="E171" s="482" t="str">
        <f t="shared" si="165"/>
        <v>2</v>
      </c>
      <c r="F171" s="135">
        <f>IFERROR(VLOOKUP(C171,'01_RS ALCARRIA'!$F$6:$R$36,13,FALSE),"")</f>
        <v>6</v>
      </c>
      <c r="G171" s="135">
        <f>IFERROR(VLOOKUP(C171,'01_RS ALCARRIA'!$F$6:$T$36,15,FALSE),"")</f>
        <v>10</v>
      </c>
      <c r="H171" s="138">
        <f t="shared" si="166"/>
        <v>32</v>
      </c>
      <c r="I171" s="135">
        <f>IFERROR(VLOOKUP(C171,'02_TCT GUADAMUR'!$F$6:$R$36,13,FALSE),"")</f>
        <v>10</v>
      </c>
      <c r="J171" s="135">
        <f>IFERROR(VLOOKUP(C171,'02_TCT GUADAMUR'!$F$6:$T$36,15,FALSE),"")</f>
        <v>10</v>
      </c>
      <c r="K171" s="138">
        <f t="shared" si="167"/>
        <v>20</v>
      </c>
      <c r="L171" s="135" t="str">
        <f>IFERROR(VLOOKUP(C171,'03_TCT MAQUEDA'!$F$6:$R$36,13,FALSE),"")</f>
        <v/>
      </c>
      <c r="M171" s="135" t="str">
        <f>IFERROR(VLOOKUP(C171,'03_TCT MAQUEDA'!$F$6:$T$36,15,FALSE),"")</f>
        <v/>
      </c>
      <c r="N171" s="138" t="e">
        <f t="shared" si="168"/>
        <v>#VALUE!</v>
      </c>
      <c r="O171" s="135" t="str">
        <f>IFERROR(VLOOKUP(C171,'04_RALLYE CAM'!$F$6:$R$36,13,FALSE),"")</f>
        <v/>
      </c>
      <c r="P171" s="135" t="str">
        <f>IFERROR(VLOOKUP(C171,'04_RALLYE CAM'!$F$6:$T$36,15,FALSE),"")</f>
        <v/>
      </c>
      <c r="Q171" s="138" t="e">
        <f t="shared" si="169"/>
        <v>#VALUE!</v>
      </c>
      <c r="R171" s="135" t="str">
        <f>IFERROR(VLOOKUP(C171,'05_RS NAVALCARNERO'!$F$6:$R$28,13,FALSE),"")</f>
        <v/>
      </c>
      <c r="S171" s="135" t="str">
        <f>IFERROR(VLOOKUP(C171,'05_RS NAVALCARNERO'!$F$6:$T$28,15,FALSE),"")</f>
        <v/>
      </c>
      <c r="T171" s="138" t="e">
        <f t="shared" si="170"/>
        <v>#VALUE!</v>
      </c>
      <c r="U171" s="135" t="str">
        <f>IFERROR(VLOOKUP(C171,'06_TCT NUEVO BAZTÁN'!$F$6:$R$28,13,FALSE),"")</f>
        <v/>
      </c>
      <c r="V171" s="135" t="str">
        <f>IFERROR(VLOOKUP(C171,'06_TCT NUEVO BAZTÁN'!$F$6:$T$28,15,FALSE),"")</f>
        <v/>
      </c>
      <c r="W171" s="138" t="e">
        <f t="shared" si="171"/>
        <v>#VALUE!</v>
      </c>
      <c r="X171" s="139" t="e">
        <f t="shared" si="172"/>
        <v>#VALUE!</v>
      </c>
      <c r="Y171" s="140" t="str">
        <f t="shared" si="173"/>
        <v>Sí</v>
      </c>
      <c r="Z171" s="141">
        <f t="shared" si="174"/>
        <v>6</v>
      </c>
      <c r="AA171" s="148"/>
      <c r="AB171" s="262" t="str">
        <f>IFERROR(VLOOKUP(C171,Tabla15[[Piloto2]:[Puntos clase5]],4, FALSE), " ")</f>
        <v>2RM</v>
      </c>
    </row>
    <row r="172" spans="2:35" ht="12.75" customHeight="1" x14ac:dyDescent="0.3">
      <c r="B172" s="133">
        <v>5</v>
      </c>
      <c r="C172" s="142" t="s">
        <v>605</v>
      </c>
      <c r="D172" s="482">
        <v>3</v>
      </c>
      <c r="E172" s="482" t="str">
        <f t="shared" si="165"/>
        <v>2</v>
      </c>
      <c r="F172" s="135">
        <f>IFERROR(VLOOKUP(C172,'01_RS ALCARRIA'!$F$6:$R$36,13,FALSE),"")</f>
        <v>5</v>
      </c>
      <c r="G172" s="135">
        <f>IFERROR(VLOOKUP(C172,'01_RS ALCARRIA'!$F$6:$T$36,15,FALSE),"")</f>
        <v>3</v>
      </c>
      <c r="H172" s="138">
        <f t="shared" si="166"/>
        <v>16</v>
      </c>
      <c r="I172" s="135">
        <f>IFERROR(VLOOKUP(C172,'02_TCT GUADAMUR'!$F$6:$R$36,13,FALSE),"")</f>
        <v>0</v>
      </c>
      <c r="J172" s="135">
        <f>IFERROR(VLOOKUP(C172,'02_TCT GUADAMUR'!$F$6:$T$36,15,FALSE),"")</f>
        <v>1</v>
      </c>
      <c r="K172" s="138">
        <f t="shared" si="167"/>
        <v>1</v>
      </c>
      <c r="L172" s="135">
        <v>0</v>
      </c>
      <c r="M172" s="135">
        <v>0</v>
      </c>
      <c r="N172" s="138">
        <f t="shared" si="168"/>
        <v>0</v>
      </c>
      <c r="O172" s="135" t="str">
        <f>IFERROR(VLOOKUP(C172,'04_RALLYE CAM'!$F$6:$R$36,13,FALSE),"")</f>
        <v/>
      </c>
      <c r="P172" s="135" t="str">
        <f>IFERROR(VLOOKUP(C172,'04_RALLYE CAM'!$F$6:$T$36,15,FALSE),"")</f>
        <v/>
      </c>
      <c r="Q172" s="138" t="e">
        <f t="shared" si="169"/>
        <v>#VALUE!</v>
      </c>
      <c r="R172" s="135" t="str">
        <f>IFERROR(VLOOKUP(C172,'05_RS NAVALCARNERO'!$F$6:$R$28,13,FALSE),"")</f>
        <v/>
      </c>
      <c r="S172" s="135" t="str">
        <f>IFERROR(VLOOKUP(C172,'05_RS NAVALCARNERO'!$F$6:$T$28,15,FALSE),"")</f>
        <v/>
      </c>
      <c r="T172" s="138" t="e">
        <f t="shared" si="170"/>
        <v>#VALUE!</v>
      </c>
      <c r="U172" s="135" t="str">
        <f>IFERROR(VLOOKUP(C172,'06_TCT NUEVO BAZTÁN'!$F$6:$R$28,13,FALSE),"")</f>
        <v/>
      </c>
      <c r="V172" s="135" t="str">
        <f>IFERROR(VLOOKUP(C172,'06_TCT NUEVO BAZTÁN'!$F$6:$T$28,15,FALSE),"")</f>
        <v/>
      </c>
      <c r="W172" s="138" t="e">
        <f t="shared" si="171"/>
        <v>#VALUE!</v>
      </c>
      <c r="X172" s="139" t="e">
        <f t="shared" si="172"/>
        <v>#VALUE!</v>
      </c>
      <c r="Y172" s="140" t="str">
        <f t="shared" si="173"/>
        <v>Sí</v>
      </c>
      <c r="Z172" s="141">
        <f t="shared" si="174"/>
        <v>6</v>
      </c>
      <c r="AA172" s="148"/>
      <c r="AB172" s="262" t="str">
        <f>IFERROR(VLOOKUP(C172,Tabla15[[Piloto2]:[Puntos clase5]],4, FALSE), " ")</f>
        <v>2RM</v>
      </c>
    </row>
    <row r="173" spans="2:35" ht="12.75" customHeight="1" x14ac:dyDescent="0.3">
      <c r="B173" s="133">
        <v>6</v>
      </c>
      <c r="C173" s="142" t="s">
        <v>212</v>
      </c>
      <c r="D173" s="482">
        <v>3</v>
      </c>
      <c r="E173" s="482" t="str">
        <f t="shared" si="165"/>
        <v>2</v>
      </c>
      <c r="F173" s="135">
        <f>IFERROR(VLOOKUP(C173,'01_RS ALCARRIA'!$F$6:$R$36,13,FALSE),"")</f>
        <v>4</v>
      </c>
      <c r="G173" s="135">
        <f>IFERROR(VLOOKUP(C173,'01_RS ALCARRIA'!$F$6:$T$36,15,FALSE),"")</f>
        <v>1</v>
      </c>
      <c r="H173" s="138">
        <f t="shared" si="166"/>
        <v>10</v>
      </c>
      <c r="I173" s="135" t="str">
        <f>IFERROR(VLOOKUP(C173,'02_TCT GUADAMUR'!$F$6:$R$36,13,FALSE),"")</f>
        <v/>
      </c>
      <c r="J173" s="135" t="str">
        <f>IFERROR(VLOOKUP(C173,'02_TCT GUADAMUR'!$F$6:$T$36,15,FALSE),"")</f>
        <v/>
      </c>
      <c r="K173" s="138" t="e">
        <f t="shared" si="167"/>
        <v>#VALUE!</v>
      </c>
      <c r="L173" s="135" t="str">
        <f>IFERROR(VLOOKUP(C173,'03_TCT MAQUEDA'!$F$6:$R$36,13,FALSE),"")</f>
        <v/>
      </c>
      <c r="M173" s="135" t="str">
        <f>IFERROR(VLOOKUP(C173,'03_TCT MAQUEDA'!$F$6:$T$36,15,FALSE),"")</f>
        <v/>
      </c>
      <c r="N173" s="138" t="e">
        <f t="shared" si="168"/>
        <v>#VALUE!</v>
      </c>
      <c r="O173" s="135" t="str">
        <f>IFERROR(VLOOKUP(C173,'04_RALLYE CAM'!$F$6:$R$36,13,FALSE),"")</f>
        <v/>
      </c>
      <c r="P173" s="135" t="str">
        <f>IFERROR(VLOOKUP(C173,'04_RALLYE CAM'!$F$6:$T$36,15,FALSE),"")</f>
        <v/>
      </c>
      <c r="Q173" s="138" t="e">
        <f t="shared" si="169"/>
        <v>#VALUE!</v>
      </c>
      <c r="R173" s="135" t="str">
        <f>IFERROR(VLOOKUP(C173,'05_RS NAVALCARNERO'!$F$6:$R$28,13,FALSE),"")</f>
        <v/>
      </c>
      <c r="S173" s="135" t="str">
        <f>IFERROR(VLOOKUP(C173,'05_RS NAVALCARNERO'!$F$6:$T$28,15,FALSE),"")</f>
        <v/>
      </c>
      <c r="T173" s="138" t="e">
        <f t="shared" si="170"/>
        <v>#VALUE!</v>
      </c>
      <c r="U173" s="135" t="str">
        <f>IFERROR(VLOOKUP(C173,'06_TCT NUEVO BAZTÁN'!$F$6:$R$28,13,FALSE),"")</f>
        <v/>
      </c>
      <c r="V173" s="135" t="str">
        <f>IFERROR(VLOOKUP(C173,'06_TCT NUEVO BAZTÁN'!$F$6:$T$28,15,FALSE),"")</f>
        <v/>
      </c>
      <c r="W173" s="138" t="e">
        <f t="shared" si="171"/>
        <v>#VALUE!</v>
      </c>
      <c r="X173" s="139" t="e">
        <f t="shared" si="172"/>
        <v>#VALUE!</v>
      </c>
      <c r="Y173" s="140" t="str">
        <f t="shared" si="173"/>
        <v>Sí</v>
      </c>
      <c r="Z173" s="141">
        <f t="shared" si="174"/>
        <v>6</v>
      </c>
      <c r="AA173" s="148"/>
      <c r="AB173" s="262" t="str">
        <f>IFERROR(VLOOKUP(C173,Tabla15[[Piloto2]:[Puntos clase5]],4, FALSE), " ")</f>
        <v>2RM</v>
      </c>
    </row>
    <row r="174" spans="2:35" ht="12.75" customHeight="1" x14ac:dyDescent="0.3">
      <c r="B174" s="133">
        <v>7</v>
      </c>
      <c r="C174" s="142" t="s">
        <v>608</v>
      </c>
      <c r="D174" s="482">
        <v>3</v>
      </c>
      <c r="E174" s="482" t="str">
        <f t="shared" si="165"/>
        <v>2</v>
      </c>
      <c r="F174" s="135">
        <f>IFERROR(VLOOKUP(C174,'01_RS ALCARRIA'!$F$6:$R$36,13,FALSE),"")</f>
        <v>3</v>
      </c>
      <c r="G174" s="135">
        <f>IFERROR(VLOOKUP(C174,'01_RS ALCARRIA'!$F$6:$T$36,15,FALSE),"")</f>
        <v>0</v>
      </c>
      <c r="H174" s="138">
        <f t="shared" si="166"/>
        <v>6</v>
      </c>
      <c r="I174" s="135">
        <f>IFERROR(VLOOKUP(C174,'02_TCT GUADAMUR'!$F$6:$R$36,13,FALSE),"")</f>
        <v>0</v>
      </c>
      <c r="J174" s="135">
        <f>IFERROR(VLOOKUP(C174,'02_TCT GUADAMUR'!$F$6:$T$36,15,FALSE),"")</f>
        <v>0</v>
      </c>
      <c r="K174" s="138">
        <f t="shared" si="167"/>
        <v>0</v>
      </c>
      <c r="L174" s="135">
        <f>IFERROR(VLOOKUP(C174,'03_TCT MAQUEDA'!$F$6:$R$36,13,FALSE),"")</f>
        <v>1</v>
      </c>
      <c r="M174" s="135">
        <f>IFERROR(VLOOKUP(C174,'03_TCT MAQUEDA'!$F$6:$T$36,15,FALSE),"")</f>
        <v>3</v>
      </c>
      <c r="N174" s="138">
        <f t="shared" si="168"/>
        <v>4</v>
      </c>
      <c r="O174" s="135" t="str">
        <f>IFERROR(VLOOKUP(C174,'04_RALLYE CAM'!$F$6:$R$36,13,FALSE),"")</f>
        <v/>
      </c>
      <c r="P174" s="135" t="str">
        <f>IFERROR(VLOOKUP(C174,'04_RALLYE CAM'!$F$6:$T$36,15,FALSE),"")</f>
        <v/>
      </c>
      <c r="Q174" s="138" t="e">
        <f t="shared" si="169"/>
        <v>#VALUE!</v>
      </c>
      <c r="R174" s="135" t="str">
        <f>IFERROR(VLOOKUP(C174,'05_RS NAVALCARNERO'!$F$6:$R$28,13,FALSE),"")</f>
        <v/>
      </c>
      <c r="S174" s="135" t="str">
        <f>IFERROR(VLOOKUP(C174,'05_RS NAVALCARNERO'!$F$6:$T$28,15,FALSE),"")</f>
        <v/>
      </c>
      <c r="T174" s="138" t="e">
        <f t="shared" si="170"/>
        <v>#VALUE!</v>
      </c>
      <c r="U174" s="135" t="str">
        <f>IFERROR(VLOOKUP(C174,'06_TCT NUEVO BAZTÁN'!$F$6:$R$28,13,FALSE),"")</f>
        <v/>
      </c>
      <c r="V174" s="135" t="str">
        <f>IFERROR(VLOOKUP(C174,'06_TCT NUEVO BAZTÁN'!$F$6:$T$28,15,FALSE),"")</f>
        <v/>
      </c>
      <c r="W174" s="138" t="e">
        <f t="shared" si="171"/>
        <v>#VALUE!</v>
      </c>
      <c r="X174" s="139" t="e">
        <f t="shared" si="172"/>
        <v>#VALUE!</v>
      </c>
      <c r="Y174" s="140" t="str">
        <f t="shared" si="173"/>
        <v>Sí</v>
      </c>
      <c r="Z174" s="141">
        <f t="shared" si="174"/>
        <v>6</v>
      </c>
      <c r="AA174" s="148"/>
      <c r="AB174" s="262" t="str">
        <f>IFERROR(VLOOKUP(C174,Tabla15[[Piloto2]:[Puntos clase5]],4, FALSE), " ")</f>
        <v>2RM</v>
      </c>
      <c r="AC174" s="232" t="s">
        <v>271</v>
      </c>
      <c r="AD174" s="229"/>
      <c r="AE174" s="229"/>
      <c r="AF174" s="229"/>
      <c r="AG174" s="229"/>
      <c r="AH174" s="229"/>
      <c r="AI174" s="230"/>
    </row>
    <row r="175" spans="2:35" ht="12.75" customHeight="1" x14ac:dyDescent="0.3">
      <c r="B175" s="133">
        <v>8</v>
      </c>
      <c r="C175" s="142" t="s">
        <v>611</v>
      </c>
      <c r="D175" s="482">
        <v>3</v>
      </c>
      <c r="E175" s="482" t="str">
        <f t="shared" si="165"/>
        <v>2</v>
      </c>
      <c r="F175" s="135">
        <f>IFERROR(VLOOKUP(C175,'01_RS ALCARRIA'!$F$6:$R$36,13,FALSE),"")</f>
        <v>2</v>
      </c>
      <c r="G175" s="135">
        <f>IFERROR(VLOOKUP(C175,'01_RS ALCARRIA'!$F$6:$T$36,15,FALSE),"")</f>
        <v>0</v>
      </c>
      <c r="H175" s="138">
        <f t="shared" si="166"/>
        <v>4</v>
      </c>
      <c r="I175" s="135">
        <f>IFERROR(VLOOKUP(C175,'02_TCT GUADAMUR'!$F$6:$R$36,13,FALSE),"")</f>
        <v>1</v>
      </c>
      <c r="J175" s="135">
        <f>IFERROR(VLOOKUP(C175,'02_TCT GUADAMUR'!$F$6:$T$36,15,FALSE),"")</f>
        <v>3</v>
      </c>
      <c r="K175" s="138">
        <f t="shared" si="167"/>
        <v>4</v>
      </c>
      <c r="L175" s="135">
        <f>IFERROR(VLOOKUP(C175,'03_TCT MAQUEDA'!$F$6:$R$36,13,FALSE),"")</f>
        <v>5</v>
      </c>
      <c r="M175" s="135">
        <f>IFERROR(VLOOKUP(C175,'03_TCT MAQUEDA'!$F$6:$T$36,15,FALSE),"")</f>
        <v>8</v>
      </c>
      <c r="N175" s="138">
        <f t="shared" si="168"/>
        <v>13</v>
      </c>
      <c r="O175" s="135" t="str">
        <f>IFERROR(VLOOKUP(C175,'04_RALLYE CAM'!$F$6:$R$36,13,FALSE),"")</f>
        <v/>
      </c>
      <c r="P175" s="135" t="str">
        <f>IFERROR(VLOOKUP(C175,'04_RALLYE CAM'!$F$6:$T$36,15,FALSE),"")</f>
        <v/>
      </c>
      <c r="Q175" s="138" t="e">
        <f t="shared" si="169"/>
        <v>#VALUE!</v>
      </c>
      <c r="R175" s="135" t="str">
        <f>IFERROR(VLOOKUP(C175,'05_RS NAVALCARNERO'!$F$6:$R$28,13,FALSE),"")</f>
        <v/>
      </c>
      <c r="S175" s="135" t="str">
        <f>IFERROR(VLOOKUP(C175,'05_RS NAVALCARNERO'!$F$6:$T$28,15,FALSE),"")</f>
        <v/>
      </c>
      <c r="T175" s="138" t="e">
        <f t="shared" si="170"/>
        <v>#VALUE!</v>
      </c>
      <c r="U175" s="135" t="str">
        <f>IFERROR(VLOOKUP(C175,'06_TCT NUEVO BAZTÁN'!$F$6:$R$28,13,FALSE),"")</f>
        <v/>
      </c>
      <c r="V175" s="135" t="str">
        <f>IFERROR(VLOOKUP(C175,'06_TCT NUEVO BAZTÁN'!$F$6:$T$28,15,FALSE),"")</f>
        <v/>
      </c>
      <c r="W175" s="138" t="e">
        <f t="shared" si="171"/>
        <v>#VALUE!</v>
      </c>
      <c r="X175" s="139" t="e">
        <f t="shared" si="172"/>
        <v>#VALUE!</v>
      </c>
      <c r="Y175" s="140" t="str">
        <f t="shared" si="173"/>
        <v>Sí</v>
      </c>
      <c r="Z175" s="141">
        <f t="shared" si="174"/>
        <v>6</v>
      </c>
      <c r="AA175" s="148"/>
      <c r="AB175" s="262" t="str">
        <f>IFERROR(VLOOKUP(C175,Tabla15[[Piloto2]:[Puntos clase5]],4, FALSE), " ")</f>
        <v>2RM</v>
      </c>
      <c r="AC175" s="8" t="s">
        <v>272</v>
      </c>
      <c r="AD175" s="8">
        <v>1</v>
      </c>
      <c r="AE175" s="8">
        <v>2</v>
      </c>
      <c r="AF175" s="8">
        <v>3</v>
      </c>
      <c r="AG175" s="8">
        <v>4</v>
      </c>
      <c r="AH175" s="8">
        <v>5</v>
      </c>
      <c r="AI175" s="8" t="s">
        <v>9</v>
      </c>
    </row>
    <row r="176" spans="2:35" ht="12.75" customHeight="1" x14ac:dyDescent="0.3">
      <c r="B176" s="133">
        <v>9</v>
      </c>
      <c r="C176" s="142" t="s">
        <v>613</v>
      </c>
      <c r="D176" s="482">
        <v>3</v>
      </c>
      <c r="E176" s="482" t="str">
        <f t="shared" si="165"/>
        <v>2</v>
      </c>
      <c r="F176" s="135">
        <f>IFERROR(VLOOKUP(C176,'01_RS ALCARRIA'!$F$6:$R$36,13,FALSE),"")</f>
        <v>1</v>
      </c>
      <c r="G176" s="135">
        <f>IFERROR(VLOOKUP(C176,'01_RS ALCARRIA'!$F$6:$T$36,15,FALSE),"")</f>
        <v>0</v>
      </c>
      <c r="H176" s="138">
        <f t="shared" si="166"/>
        <v>2</v>
      </c>
      <c r="I176" s="135" t="str">
        <f>IFERROR(VLOOKUP(C176,'02_TCT GUADAMUR'!$F$6:$R$36,13,FALSE),"")</f>
        <v/>
      </c>
      <c r="J176" s="135" t="str">
        <f>IFERROR(VLOOKUP(C176,'02_TCT GUADAMUR'!$F$6:$T$36,15,FALSE),"")</f>
        <v/>
      </c>
      <c r="K176" s="138" t="e">
        <f t="shared" si="167"/>
        <v>#VALUE!</v>
      </c>
      <c r="L176" s="135">
        <f>IFERROR(VLOOKUP(C176,'03_TCT MAQUEDA'!$F$6:$R$36,13,FALSE),"")</f>
        <v>0</v>
      </c>
      <c r="M176" s="135">
        <f>IFERROR(VLOOKUP(C176,'03_TCT MAQUEDA'!$F$6:$T$36,15,FALSE),"")</f>
        <v>1</v>
      </c>
      <c r="N176" s="138">
        <f t="shared" si="168"/>
        <v>1</v>
      </c>
      <c r="O176" s="135" t="str">
        <f>IFERROR(VLOOKUP(C176,'04_RALLYE CAM'!$F$6:$R$36,13,FALSE),"")</f>
        <v/>
      </c>
      <c r="P176" s="135" t="str">
        <f>IFERROR(VLOOKUP(C176,'04_RALLYE CAM'!$F$6:$T$36,15,FALSE),"")</f>
        <v/>
      </c>
      <c r="Q176" s="138" t="e">
        <f t="shared" si="169"/>
        <v>#VALUE!</v>
      </c>
      <c r="R176" s="135" t="str">
        <f>IFERROR(VLOOKUP(C176,'05_RS NAVALCARNERO'!$F$6:$R$28,13,FALSE),"")</f>
        <v/>
      </c>
      <c r="S176" s="135" t="str">
        <f>IFERROR(VLOOKUP(C176,'05_RS NAVALCARNERO'!$F$6:$T$28,15,FALSE),"")</f>
        <v/>
      </c>
      <c r="T176" s="138" t="e">
        <f t="shared" si="170"/>
        <v>#VALUE!</v>
      </c>
      <c r="U176" s="135" t="str">
        <f>IFERROR(VLOOKUP(C176,'06_TCT NUEVO BAZTÁN'!$F$6:$R$28,13,FALSE),"")</f>
        <v/>
      </c>
      <c r="V176" s="135" t="str">
        <f>IFERROR(VLOOKUP(C176,'06_TCT NUEVO BAZTÁN'!$F$6:$T$28,15,FALSE),"")</f>
        <v/>
      </c>
      <c r="W176" s="138" t="e">
        <f t="shared" si="171"/>
        <v>#VALUE!</v>
      </c>
      <c r="X176" s="139" t="e">
        <f t="shared" si="172"/>
        <v>#VALUE!</v>
      </c>
      <c r="Y176" s="140" t="str">
        <f t="shared" si="173"/>
        <v>Sí</v>
      </c>
      <c r="Z176" s="141">
        <f t="shared" si="174"/>
        <v>6</v>
      </c>
      <c r="AA176" s="148"/>
      <c r="AB176" s="262" t="str">
        <f>IFERROR(VLOOKUP(C176,Tabla15[[Piloto2]:[Puntos clase5]],4, FALSE), " ")</f>
        <v>2RM</v>
      </c>
      <c r="AC176" s="8">
        <f>COUNTA(C58:C77)</f>
        <v>20</v>
      </c>
      <c r="AD176" s="8">
        <f>COUNTIF($D$6:$D$25,AD175)</f>
        <v>2</v>
      </c>
      <c r="AE176" s="8">
        <f>COUNTIF($D$6:$D$25,AE175)</f>
        <v>3</v>
      </c>
      <c r="AF176" s="8">
        <f>COUNTIF($D$6:$D$25,AF175)</f>
        <v>11</v>
      </c>
      <c r="AG176" s="8">
        <f>COUNTIF($D$6:$D$25,AG175)</f>
        <v>3</v>
      </c>
      <c r="AH176" s="8">
        <f>COUNTIF($D$6:$D$25,AH175)</f>
        <v>1</v>
      </c>
      <c r="AI176" s="231">
        <f>SUM(AD176:AH176)</f>
        <v>20</v>
      </c>
    </row>
    <row r="177" spans="2:39" ht="12.75" customHeight="1" x14ac:dyDescent="0.3">
      <c r="B177" s="133">
        <v>10</v>
      </c>
      <c r="C177" s="142" t="s">
        <v>620</v>
      </c>
      <c r="D177" s="482">
        <v>3</v>
      </c>
      <c r="E177" s="482" t="str">
        <f>LEFT(AB177,LEN(AB177)-2)</f>
        <v>2</v>
      </c>
      <c r="F177" s="135">
        <f>IFERROR(VLOOKUP(C177,'01_RS ALCARRIA'!$F$6:$R$36,13,FALSE),"")</f>
        <v>0</v>
      </c>
      <c r="G177" s="135">
        <f>IFERROR(VLOOKUP(C177,'01_RS ALCARRIA'!$F$6:$T$36,15,FALSE),"")</f>
        <v>0</v>
      </c>
      <c r="H177" s="138">
        <f t="shared" si="166"/>
        <v>0</v>
      </c>
      <c r="I177" s="135" t="str">
        <f>IFERROR(VLOOKUP(C177,'02_TCT GUADAMUR'!$F$6:$R$36,13,FALSE),"")</f>
        <v/>
      </c>
      <c r="J177" s="135" t="str">
        <f>IFERROR(VLOOKUP(C177,'02_TCT GUADAMUR'!$F$6:$T$36,15,FALSE),"")</f>
        <v/>
      </c>
      <c r="K177" s="138" t="e">
        <f t="shared" si="167"/>
        <v>#VALUE!</v>
      </c>
      <c r="L177" s="135" t="str">
        <f>IFERROR(VLOOKUP(C177,'03_TCT MAQUEDA'!$F$6:$R$36,13,FALSE),"")</f>
        <v/>
      </c>
      <c r="M177" s="135" t="str">
        <f>IFERROR(VLOOKUP(C177,'03_TCT MAQUEDA'!$F$6:$T$36,15,FALSE),"")</f>
        <v/>
      </c>
      <c r="N177" s="138" t="e">
        <f t="shared" si="168"/>
        <v>#VALUE!</v>
      </c>
      <c r="O177" s="135" t="str">
        <f>IFERROR(VLOOKUP(C177,'04_RALLYE CAM'!$F$6:$R$36,13,FALSE),"")</f>
        <v/>
      </c>
      <c r="P177" s="135" t="str">
        <f>IFERROR(VLOOKUP(C177,'04_RALLYE CAM'!$F$6:$T$36,15,FALSE),"")</f>
        <v/>
      </c>
      <c r="Q177" s="138" t="e">
        <f t="shared" si="169"/>
        <v>#VALUE!</v>
      </c>
      <c r="R177" s="135" t="str">
        <f>IFERROR(VLOOKUP(C177,'05_RS NAVALCARNERO'!$F$6:$R$28,13,FALSE),"")</f>
        <v/>
      </c>
      <c r="S177" s="135" t="str">
        <f>IFERROR(VLOOKUP(C177,'05_RS NAVALCARNERO'!$F$6:$T$28,15,FALSE),"")</f>
        <v/>
      </c>
      <c r="T177" s="138" t="e">
        <f t="shared" si="170"/>
        <v>#VALUE!</v>
      </c>
      <c r="U177" s="135" t="str">
        <f>IFERROR(VLOOKUP(C177,'06_TCT NUEVO BAZTÁN'!$F$6:$R$28,13,FALSE),"")</f>
        <v/>
      </c>
      <c r="V177" s="135" t="str">
        <f>IFERROR(VLOOKUP(C177,'06_TCT NUEVO BAZTÁN'!$F$6:$T$28,15,FALSE),"")</f>
        <v/>
      </c>
      <c r="W177" s="138" t="e">
        <f t="shared" si="171"/>
        <v>#VALUE!</v>
      </c>
      <c r="X177" s="139" t="e">
        <f t="shared" si="172"/>
        <v>#VALUE!</v>
      </c>
      <c r="Y177" s="140" t="str">
        <f t="shared" si="173"/>
        <v>Sí</v>
      </c>
      <c r="Z177" s="141">
        <f t="shared" si="174"/>
        <v>6</v>
      </c>
      <c r="AA177" s="148"/>
      <c r="AB177" s="262" t="str">
        <f>IFERROR(VLOOKUP(C177,Tabla15[[Piloto2]:[Puntos clase5]],4, FALSE), " ")</f>
        <v>2RM</v>
      </c>
    </row>
    <row r="178" spans="2:39" ht="12.75" customHeight="1" x14ac:dyDescent="0.3">
      <c r="B178" s="133">
        <v>1</v>
      </c>
      <c r="C178" s="134" t="s">
        <v>625</v>
      </c>
      <c r="D178" s="486">
        <v>4</v>
      </c>
      <c r="E178" s="482" t="str">
        <f>LEFT(AB178,LEN(AB178)-2)</f>
        <v>2</v>
      </c>
      <c r="F178" s="135">
        <f>IFERROR(VLOOKUP(C178,'01_RS ALCARRIA'!$F$6:$R$36,13,FALSE),"")</f>
        <v>0</v>
      </c>
      <c r="G178" s="284">
        <f>IFERROR(VLOOKUP(C178,'01_RS ALCARRIA'!$F$6:$T$36,15,FALSE),"")/2</f>
        <v>5</v>
      </c>
      <c r="H178" s="138">
        <f t="shared" si="166"/>
        <v>10</v>
      </c>
      <c r="I178" s="135">
        <f>IFERROR(VLOOKUP(C178,'02_TCT GUADAMUR'!$F$6:$R$36,13,FALSE),"")</f>
        <v>2</v>
      </c>
      <c r="J178" s="135">
        <f>IFERROR(VLOOKUP(C178,'02_TCT GUADAMUR'!$F$6:$T$36,15,FALSE),"")</f>
        <v>8</v>
      </c>
      <c r="K178" s="138">
        <f t="shared" si="167"/>
        <v>10</v>
      </c>
      <c r="L178" s="135" t="str">
        <f>IFERROR(VLOOKUP(C178,'03_TCT MAQUEDA'!$F$6:$R$36,13,FALSE),"")</f>
        <v/>
      </c>
      <c r="M178" s="135" t="str">
        <f>IFERROR(VLOOKUP(C178,'03_TCT MAQUEDA'!$F$6:$T$36,15,FALSE),"")</f>
        <v/>
      </c>
      <c r="N178" s="138" t="e">
        <f t="shared" si="168"/>
        <v>#VALUE!</v>
      </c>
      <c r="O178" s="135" t="str">
        <f>IFERROR(VLOOKUP(C178,'04_RALLYE CAM'!$F$6:$R$36,13,FALSE),"")</f>
        <v/>
      </c>
      <c r="P178" s="135" t="str">
        <f>IFERROR(VLOOKUP(C178,'04_RALLYE CAM'!$F$6:$T$36,15,FALSE),"")</f>
        <v/>
      </c>
      <c r="Q178" s="138" t="e">
        <f t="shared" si="169"/>
        <v>#VALUE!</v>
      </c>
      <c r="R178" s="135" t="str">
        <f>IFERROR(VLOOKUP(C178,'05_RS NAVALCARNERO'!$F$6:$R$28,13,FALSE),"")</f>
        <v/>
      </c>
      <c r="S178" s="135" t="str">
        <f>IFERROR(VLOOKUP(C178,'05_RS NAVALCARNERO'!$F$6:$T$28,15,FALSE),"")</f>
        <v/>
      </c>
      <c r="T178" s="138" t="e">
        <f t="shared" si="170"/>
        <v>#VALUE!</v>
      </c>
      <c r="U178" s="135" t="str">
        <f>IFERROR(VLOOKUP(C178,'06_TCT NUEVO BAZTÁN'!$F$6:$R$28,13,FALSE),"")</f>
        <v/>
      </c>
      <c r="V178" s="135" t="str">
        <f>IFERROR(VLOOKUP(C178,'06_TCT NUEVO BAZTÁN'!$F$6:$T$28,15,FALSE),"")</f>
        <v/>
      </c>
      <c r="W178" s="138" t="e">
        <f t="shared" si="171"/>
        <v>#VALUE!</v>
      </c>
      <c r="X178" s="139" t="e">
        <f t="shared" si="172"/>
        <v>#VALUE!</v>
      </c>
      <c r="Y178" s="140" t="str">
        <f t="shared" si="173"/>
        <v>Sí</v>
      </c>
      <c r="Z178" s="141">
        <f t="shared" si="174"/>
        <v>6</v>
      </c>
      <c r="AA178" s="7"/>
      <c r="AB178" s="262" t="str">
        <f>IFERROR(VLOOKUP(C178,Tabla15[[Piloto2]:[Puntos clase5]],4, FALSE), " ")</f>
        <v>2RM</v>
      </c>
      <c r="AC178" s="6"/>
    </row>
    <row r="179" spans="2:39" ht="12.75" customHeight="1" x14ac:dyDescent="0.3">
      <c r="B179" s="133">
        <v>2</v>
      </c>
      <c r="C179" s="142" t="s">
        <v>627</v>
      </c>
      <c r="D179" s="482">
        <v>5</v>
      </c>
      <c r="E179" s="482" t="str">
        <f>LEFT(AB179,LEN(AB179)-2)</f>
        <v>4</v>
      </c>
      <c r="F179" s="135" t="str">
        <f>IFERROR(VLOOKUP(C179,'01_RS ALCARRIA'!$F$6:$R$36,13,FALSE),"")</f>
        <v/>
      </c>
      <c r="G179" s="135" t="str">
        <f>IFERROR(VLOOKUP(C179,'01_RS ALCARRIA'!$F$6:$T$36,15,FALSE),"")</f>
        <v/>
      </c>
      <c r="H179" s="138" t="e">
        <f t="shared" si="166"/>
        <v>#VALUE!</v>
      </c>
      <c r="I179" s="135">
        <f>IFERROR(VLOOKUP(C179,'02_TCT GUADAMUR'!$F$6:$R$36,13,FALSE),"")</f>
        <v>5</v>
      </c>
      <c r="J179" s="135">
        <f>IFERROR(VLOOKUP(C179,'02_TCT GUADAMUR'!$F$6:$T$36,15,FALSE),"")</f>
        <v>8</v>
      </c>
      <c r="K179" s="138">
        <f t="shared" si="167"/>
        <v>13</v>
      </c>
      <c r="L179" s="135" t="str">
        <f>IFERROR(VLOOKUP(C179,'03_TCT MAQUEDA'!$F$6:$R$36,13,FALSE),"")</f>
        <v/>
      </c>
      <c r="M179" s="135" t="str">
        <f>IFERROR(VLOOKUP(C179,'03_TCT MAQUEDA'!$F$6:$T$36,15,FALSE),"")</f>
        <v/>
      </c>
      <c r="N179" s="138" t="e">
        <f t="shared" si="168"/>
        <v>#VALUE!</v>
      </c>
      <c r="O179" s="135" t="str">
        <f>IFERROR(VLOOKUP(C179,'04_RALLYE CAM'!$F$6:$R$36,13,FALSE),"")</f>
        <v/>
      </c>
      <c r="P179" s="135" t="str">
        <f>IFERROR(VLOOKUP(C179,'04_RALLYE CAM'!$F$6:$T$36,15,FALSE),"")</f>
        <v/>
      </c>
      <c r="Q179" s="138" t="e">
        <f t="shared" si="169"/>
        <v>#VALUE!</v>
      </c>
      <c r="R179" s="135" t="str">
        <f>IFERROR(VLOOKUP(C179,'05_RS NAVALCARNERO'!$F$6:$R$28,13,FALSE),"")</f>
        <v/>
      </c>
      <c r="S179" s="135" t="str">
        <f>IFERROR(VLOOKUP(C179,'05_RS NAVALCARNERO'!$F$6:$T$28,15,FALSE),"")</f>
        <v/>
      </c>
      <c r="T179" s="138" t="e">
        <f t="shared" si="170"/>
        <v>#VALUE!</v>
      </c>
      <c r="U179" s="135" t="str">
        <f>IFERROR(VLOOKUP(C179,'06_TCT NUEVO BAZTÁN'!$F$6:$R$28,13,FALSE),"")</f>
        <v/>
      </c>
      <c r="V179" s="135" t="str">
        <f>IFERROR(VLOOKUP(C179,'06_TCT NUEVO BAZTÁN'!$F$6:$T$28,15,FALSE),"")</f>
        <v/>
      </c>
      <c r="W179" s="138" t="e">
        <f t="shared" si="171"/>
        <v>#VALUE!</v>
      </c>
      <c r="X179" s="139" t="e">
        <f t="shared" si="172"/>
        <v>#VALUE!</v>
      </c>
      <c r="Y179" s="140" t="str">
        <f t="shared" si="173"/>
        <v>Sí</v>
      </c>
      <c r="Z179" s="141">
        <f t="shared" si="174"/>
        <v>6</v>
      </c>
      <c r="AB179" s="262" t="str">
        <f>IFERROR(VLOOKUP(C179,Tabla15[[Piloto2]:[Puntos clase5]],4, FALSE), " ")</f>
        <v>4RM</v>
      </c>
      <c r="AC179" s="2"/>
    </row>
    <row r="180" spans="2:39" ht="12.75" customHeight="1" x14ac:dyDescent="0.3">
      <c r="B180" s="133">
        <v>3</v>
      </c>
      <c r="C180" s="142" t="s">
        <v>629</v>
      </c>
      <c r="D180" s="482">
        <v>2</v>
      </c>
      <c r="E180" s="482" t="str">
        <f>LEFT(AB180,LEN(AB180)-2)</f>
        <v>2</v>
      </c>
      <c r="F180" s="135" t="str">
        <f>IFERROR(VLOOKUP(C180,'01_RS ALCARRIA'!$F$6:$R$36,13,FALSE),"")</f>
        <v/>
      </c>
      <c r="G180" s="135" t="str">
        <f>IFERROR(VLOOKUP(C180,'01_RS ALCARRIA'!$F$6:$T$36,15,FALSE),"")</f>
        <v/>
      </c>
      <c r="H180" s="138" t="e">
        <f t="shared" si="166"/>
        <v>#VALUE!</v>
      </c>
      <c r="I180" s="135" t="str">
        <f>IFERROR(VLOOKUP(C180,'02_TCT GUADAMUR'!$F$6:$R$36,13,FALSE),"")</f>
        <v/>
      </c>
      <c r="J180" s="135" t="str">
        <f>IFERROR(VLOOKUP(C180,'02_TCT GUADAMUR'!$F$6:$T$36,15,FALSE),"")</f>
        <v/>
      </c>
      <c r="K180" s="138" t="e">
        <f t="shared" si="167"/>
        <v>#VALUE!</v>
      </c>
      <c r="L180" s="135">
        <f>IFERROR(VLOOKUP(C180,'03_TCT MAQUEDA'!$F$6:$R$36,13,FALSE),"")</f>
        <v>0</v>
      </c>
      <c r="M180" s="135">
        <f>IFERROR(VLOOKUP(C180,'03_TCT MAQUEDA'!$F$6:$T$36,15,FALSE),"")</f>
        <v>5</v>
      </c>
      <c r="N180" s="138">
        <f t="shared" si="168"/>
        <v>5</v>
      </c>
      <c r="O180" s="135" t="str">
        <f>IFERROR(VLOOKUP(C180,'04_RALLYE CAM'!$F$6:$R$36,13,FALSE),"")</f>
        <v/>
      </c>
      <c r="P180" s="135" t="str">
        <f>IFERROR(VLOOKUP(C180,'04_RALLYE CAM'!$F$6:$T$36,15,FALSE),"")</f>
        <v/>
      </c>
      <c r="Q180" s="138" t="e">
        <f t="shared" si="169"/>
        <v>#VALUE!</v>
      </c>
      <c r="R180" s="135" t="str">
        <f>IFERROR(VLOOKUP(C180,'05_RS NAVALCARNERO'!$F$6:$R$28,13,FALSE),"")</f>
        <v/>
      </c>
      <c r="S180" s="135" t="str">
        <f>IFERROR(VLOOKUP(C180,'05_RS NAVALCARNERO'!$F$6:$T$28,15,FALSE),"")</f>
        <v/>
      </c>
      <c r="T180" s="138" t="e">
        <f t="shared" si="170"/>
        <v>#VALUE!</v>
      </c>
      <c r="U180" s="135" t="str">
        <f>IFERROR(VLOOKUP(C180,'06_TCT NUEVO BAZTÁN'!$F$6:$R$28,13,FALSE),"")</f>
        <v/>
      </c>
      <c r="V180" s="135" t="str">
        <f>IFERROR(VLOOKUP(C180,'06_TCT NUEVO BAZTÁN'!$F$6:$T$28,15,FALSE),"")</f>
        <v/>
      </c>
      <c r="W180" s="138" t="e">
        <f t="shared" si="171"/>
        <v>#VALUE!</v>
      </c>
      <c r="X180" s="139" t="e">
        <f t="shared" si="172"/>
        <v>#VALUE!</v>
      </c>
      <c r="Y180" s="140" t="str">
        <f t="shared" si="173"/>
        <v>Sí</v>
      </c>
      <c r="Z180" s="141">
        <f t="shared" si="174"/>
        <v>6</v>
      </c>
      <c r="AA180" s="121"/>
      <c r="AB180" s="262" t="str">
        <f>IFERROR(VLOOKUP(C180,Tabla15[[Piloto2]:[Puntos clase5]],4, FALSE), " ")</f>
        <v>2RM</v>
      </c>
      <c r="AC180" s="8" t="s">
        <v>8</v>
      </c>
      <c r="AD180" s="8">
        <v>1</v>
      </c>
      <c r="AE180" s="8">
        <v>2</v>
      </c>
      <c r="AF180" s="8">
        <v>3</v>
      </c>
      <c r="AG180" s="8">
        <v>4</v>
      </c>
      <c r="AH180" s="8">
        <v>5</v>
      </c>
      <c r="AI180" s="8"/>
      <c r="AJ180" s="8"/>
      <c r="AK180" s="8"/>
      <c r="AL180" s="8"/>
      <c r="AM180" s="8" t="s">
        <v>9</v>
      </c>
    </row>
    <row r="181" spans="2:39" ht="12.75" customHeight="1" x14ac:dyDescent="0.3">
      <c r="B181" s="133">
        <v>3</v>
      </c>
      <c r="C181" s="142" t="s">
        <v>631</v>
      </c>
      <c r="D181" s="482">
        <v>5</v>
      </c>
      <c r="E181" s="482" t="str">
        <f t="shared" ref="E181" si="175">LEFT(AB181,LEN(AB181)-2)</f>
        <v>2</v>
      </c>
      <c r="F181" s="135" t="str">
        <f>IFERROR(VLOOKUP(C181,'01_RS ALCARRIA'!$F$6:$R$36,13,FALSE),"")</f>
        <v/>
      </c>
      <c r="G181" s="135" t="str">
        <f>IFERROR(VLOOKUP(C181,'01_RS ALCARRIA'!$F$6:$T$36,15,FALSE),"")</f>
        <v/>
      </c>
      <c r="H181" s="138" t="e">
        <f t="shared" si="166"/>
        <v>#VALUE!</v>
      </c>
      <c r="I181" s="135">
        <f>IFERROR(VLOOKUP(C181,'02_TCT GUADAMUR'!$F$6:$R$36,13,FALSE),"")</f>
        <v>0</v>
      </c>
      <c r="J181" s="135">
        <f>IFERROR(VLOOKUP(C181,'02_TCT GUADAMUR'!$F$6:$T$36,15,FALSE),"")</f>
        <v>6</v>
      </c>
      <c r="K181" s="138">
        <f t="shared" si="167"/>
        <v>6</v>
      </c>
      <c r="L181" s="135">
        <f>IFERROR(VLOOKUP(C181,'03_TCT MAQUEDA'!$F$6:$R$36,13,FALSE),"")</f>
        <v>10</v>
      </c>
      <c r="M181" s="284">
        <f>IFERROR(VLOOKUP(C181,'03_TCT MAQUEDA'!$F$6:$T$36,15,FALSE),"")/2</f>
        <v>5</v>
      </c>
      <c r="N181" s="138">
        <f t="shared" si="168"/>
        <v>15</v>
      </c>
      <c r="O181" s="135" t="str">
        <f>IFERROR(VLOOKUP(C181,'04_RALLYE CAM'!$F$6:$R$36,13,FALSE),"")</f>
        <v/>
      </c>
      <c r="P181" s="135" t="str">
        <f>IFERROR(VLOOKUP(C181,'04_RALLYE CAM'!$F$6:$T$36,15,FALSE),"")</f>
        <v/>
      </c>
      <c r="Q181" s="138" t="e">
        <f t="shared" si="169"/>
        <v>#VALUE!</v>
      </c>
      <c r="R181" s="135" t="str">
        <f>IFERROR(VLOOKUP(C181,'05_RS NAVALCARNERO'!$F$6:$R$28,13,FALSE),"")</f>
        <v/>
      </c>
      <c r="S181" s="135" t="str">
        <f>IFERROR(VLOOKUP(C181,'05_RS NAVALCARNERO'!$F$6:$T$28,15,FALSE),"")</f>
        <v/>
      </c>
      <c r="T181" s="138" t="e">
        <f t="shared" si="170"/>
        <v>#VALUE!</v>
      </c>
      <c r="U181" s="135" t="str">
        <f>IFERROR(VLOOKUP(C181,'06_TCT NUEVO BAZTÁN'!$F$6:$R$28,13,FALSE),"")</f>
        <v/>
      </c>
      <c r="V181" s="135" t="str">
        <f>IFERROR(VLOOKUP(C181,'06_TCT NUEVO BAZTÁN'!$F$6:$T$28,15,FALSE),"")</f>
        <v/>
      </c>
      <c r="W181" s="138" t="e">
        <f t="shared" si="171"/>
        <v>#VALUE!</v>
      </c>
      <c r="X181" s="139" t="e">
        <f t="shared" si="172"/>
        <v>#VALUE!</v>
      </c>
      <c r="Y181" s="140" t="str">
        <f t="shared" si="173"/>
        <v>Sí</v>
      </c>
      <c r="Z181" s="141">
        <f t="shared" si="174"/>
        <v>6</v>
      </c>
      <c r="AA181" s="5"/>
      <c r="AB181" s="262" t="str">
        <f>IFERROR(VLOOKUP(C181,Tabla15[[Piloto2]:[Puntos clase5]],4, FALSE), " ")</f>
        <v>2RM</v>
      </c>
      <c r="AC181" s="8">
        <f>COUNTA(C58:C77)+COUNTA(Z289:Z291)+COUNTA(Z318:Z319)+COUNTA(Z346:Z347)</f>
        <v>24</v>
      </c>
      <c r="AD181" s="8">
        <f>COUNTIF($Z$6:$Z$25,AD180)+COUNTIF($Z$248:$Z$250,AD180)+COUNTIF($Z$276:$Z$277,AD180)+COUNTIF($Z$305:$Z$306,AD180)</f>
        <v>0</v>
      </c>
      <c r="AE181" s="8">
        <f>COUNTIF($Z$6:$Z$25,AE180)+COUNTIF($Z$248:$Z$250,AE180)+COUNTIF($Z$276:$Z$277,AE180)+COUNTIF($Z$305:$Z$306,AE180)</f>
        <v>0</v>
      </c>
      <c r="AF181" s="8">
        <f>COUNTIF($Z$6:$Z$25,AF180)+COUNTIF($Z$248:$Z$250,AF180)+COUNTIF($Z$276:$Z$277,AF180)+COUNTIF($Z$305:$Z$306,AF180)</f>
        <v>0</v>
      </c>
      <c r="AG181" s="8">
        <f>COUNTIF($Z$6:$Z$25,AG180)+COUNTIF($Z$248:$Z$250,AG180)+COUNTIF($Z$276:$Z$277,AG180)+COUNTIF($Z$305:$Z$306,AG180)</f>
        <v>0</v>
      </c>
      <c r="AH181" s="8">
        <f>COUNTIF($Z$6:$Z$25,AH180)+COUNTIF($Z$248:$Z$250,AH180)+COUNTIF($Z$276:$Z$277,AH180)+COUNTIF($Z$305:$Z$306,AH180)</f>
        <v>2</v>
      </c>
      <c r="AI181" s="8"/>
      <c r="AJ181" s="8"/>
      <c r="AK181" s="8"/>
      <c r="AL181" s="9"/>
      <c r="AM181" s="8">
        <f>SUM(AD181:AJ181)</f>
        <v>2</v>
      </c>
    </row>
    <row r="182" spans="2:39" ht="12.75" customHeight="1" x14ac:dyDescent="0.3">
      <c r="B182" s="133">
        <v>11</v>
      </c>
      <c r="C182" s="142" t="s">
        <v>633</v>
      </c>
      <c r="D182" s="482">
        <v>3</v>
      </c>
      <c r="E182" s="482">
        <v>2</v>
      </c>
      <c r="F182" s="135" t="str">
        <f>IFERROR(VLOOKUP(C182,'01_RS ALCARRIA'!$F$6:$R$36,13,FALSE),"")</f>
        <v/>
      </c>
      <c r="G182" s="135" t="str">
        <f>IFERROR(VLOOKUP(C182,'01_RS ALCARRIA'!$F$6:$T$36,15,FALSE),"")</f>
        <v/>
      </c>
      <c r="H182" s="138" t="e">
        <f t="shared" si="166"/>
        <v>#VALUE!</v>
      </c>
      <c r="I182" s="135" t="str">
        <f>IFERROR(VLOOKUP(C182,'02_TCT GUADAMUR'!$F$6:$R$36,13,FALSE),"")</f>
        <v/>
      </c>
      <c r="J182" s="135" t="str">
        <f>IFERROR(VLOOKUP(C182,'02_TCT GUADAMUR'!$F$6:$T$36,15,FALSE),"")</f>
        <v/>
      </c>
      <c r="K182" s="138" t="e">
        <f t="shared" si="167"/>
        <v>#VALUE!</v>
      </c>
      <c r="L182" s="135">
        <f>IFERROR(VLOOKUP(C182,'03_TCT MAQUEDA'!$F$6:$R$36,13,FALSE),"")</f>
        <v>2</v>
      </c>
      <c r="M182" s="135">
        <f>IFERROR(VLOOKUP(C182,'03_TCT MAQUEDA'!$F$6:$T$36,15,FALSE),"")</f>
        <v>5</v>
      </c>
      <c r="N182" s="138">
        <f t="shared" si="168"/>
        <v>7</v>
      </c>
      <c r="O182" s="135" t="str">
        <f>IFERROR(VLOOKUP(C182,'04_RALLYE CAM'!$F$6:$R$36,13,FALSE),"")</f>
        <v/>
      </c>
      <c r="P182" s="135" t="str">
        <f>IFERROR(VLOOKUP(C182,'04_RALLYE CAM'!$F$6:$T$36,15,FALSE),"")</f>
        <v/>
      </c>
      <c r="Q182" s="138" t="e">
        <f t="shared" si="169"/>
        <v>#VALUE!</v>
      </c>
      <c r="R182" s="135" t="str">
        <f>IFERROR(VLOOKUP(C182,'05_RS NAVALCARNERO'!$F$6:$R$28,13,FALSE),"")</f>
        <v/>
      </c>
      <c r="S182" s="135" t="str">
        <f>IFERROR(VLOOKUP(C182,'05_RS NAVALCARNERO'!$F$6:$T$28,15,FALSE),"")</f>
        <v/>
      </c>
      <c r="T182" s="138" t="e">
        <f t="shared" si="170"/>
        <v>#VALUE!</v>
      </c>
      <c r="U182" s="135" t="str">
        <f>IFERROR(VLOOKUP(C182,'06_TCT NUEVO BAZTÁN'!$F$6:$R$28,13,FALSE),"")</f>
        <v/>
      </c>
      <c r="V182" s="135" t="str">
        <f>IFERROR(VLOOKUP(C182,'06_TCT NUEVO BAZTÁN'!$F$6:$T$28,15,FALSE),"")</f>
        <v/>
      </c>
      <c r="W182" s="138" t="e">
        <f t="shared" si="171"/>
        <v>#VALUE!</v>
      </c>
      <c r="X182" s="139" t="e">
        <f t="shared" si="172"/>
        <v>#VALUE!</v>
      </c>
      <c r="Y182" s="140" t="str">
        <f t="shared" si="173"/>
        <v>Sí</v>
      </c>
      <c r="Z182" s="141">
        <f t="shared" si="174"/>
        <v>6</v>
      </c>
      <c r="AA182" s="5"/>
      <c r="AB182" s="262" t="str">
        <f>IFERROR(VLOOKUP(C182,Tabla15[[Piloto2]:[Puntos clase5]],4, FALSE), " ")</f>
        <v>2RM</v>
      </c>
      <c r="AC182" s="31"/>
      <c r="AD182" s="32"/>
      <c r="AE182" s="32"/>
      <c r="AF182" s="32"/>
      <c r="AG182" s="32"/>
      <c r="AH182" s="32"/>
      <c r="AI182" s="32"/>
      <c r="AJ182" s="528" t="s">
        <v>32</v>
      </c>
      <c r="AK182" s="529"/>
      <c r="AL182" s="530"/>
      <c r="AM182" s="33" t="e">
        <f>#REF!/AM181</f>
        <v>#REF!</v>
      </c>
    </row>
    <row r="183" spans="2:39" ht="12.75" customHeight="1" x14ac:dyDescent="0.3">
      <c r="B183" s="133">
        <v>4</v>
      </c>
      <c r="C183" s="134" t="s">
        <v>636</v>
      </c>
      <c r="D183" s="482">
        <v>5</v>
      </c>
      <c r="E183" s="482" t="str">
        <f>LEFT(AB183,LEN(AB183)-2)</f>
        <v>2</v>
      </c>
      <c r="F183" s="135" t="str">
        <f>IFERROR(VLOOKUP(C183,'01_RS ALCARRIA'!$F$6:$R$36,13,FALSE),"")</f>
        <v/>
      </c>
      <c r="G183" s="135" t="str">
        <f>IFERROR(VLOOKUP(C183,'01_RS ALCARRIA'!$F$6:$T$36,15,FALSE),"")</f>
        <v/>
      </c>
      <c r="H183" s="138" t="e">
        <f t="shared" si="166"/>
        <v>#VALUE!</v>
      </c>
      <c r="I183" s="135" t="str">
        <f>IFERROR(VLOOKUP(C183,'02_TCT GUADAMUR'!$F$6:$R$36,13,FALSE),"")</f>
        <v/>
      </c>
      <c r="J183" s="135" t="str">
        <f>IFERROR(VLOOKUP(C183,'02_TCT GUADAMUR'!$F$6:$T$36,15,FALSE),"")</f>
        <v/>
      </c>
      <c r="K183" s="138" t="e">
        <f t="shared" si="167"/>
        <v>#VALUE!</v>
      </c>
      <c r="L183" s="135" t="str">
        <f>IFERROR(VLOOKUP(C183,'03_TCT MAQUEDA'!$F$6:$R$36,13,FALSE),"")</f>
        <v/>
      </c>
      <c r="M183" s="135" t="str">
        <f>IFERROR(VLOOKUP(C183,'03_TCT MAQUEDA'!$F$6:$T$36,15,FALSE),"")</f>
        <v/>
      </c>
      <c r="N183" s="138" t="e">
        <f t="shared" si="168"/>
        <v>#VALUE!</v>
      </c>
      <c r="O183" s="135" t="str">
        <f>IFERROR(VLOOKUP(C183,'04_RALLYE CAM'!$F$6:$R$36,13,FALSE),"")</f>
        <v/>
      </c>
      <c r="P183" s="135" t="str">
        <f>IFERROR(VLOOKUP(C183,'04_RALLYE CAM'!$F$6:$T$36,15,FALSE),"")</f>
        <v/>
      </c>
      <c r="Q183" s="138" t="e">
        <f t="shared" si="169"/>
        <v>#VALUE!</v>
      </c>
      <c r="R183" s="135" t="str">
        <f>IFERROR(VLOOKUP(C183,'05_RS NAVALCARNERO'!$F$6:$R$28,13,FALSE),"")</f>
        <v/>
      </c>
      <c r="S183" s="135" t="str">
        <f>IFERROR(VLOOKUP(C183,'05_RS NAVALCARNERO'!$F$6:$T$28,15,FALSE),"")</f>
        <v/>
      </c>
      <c r="T183" s="138" t="e">
        <f t="shared" si="170"/>
        <v>#VALUE!</v>
      </c>
      <c r="U183" s="135" t="str">
        <f>IFERROR(VLOOKUP(C183,'06_TCT NUEVO BAZTÁN'!$F$6:$R$28,13,FALSE),"")</f>
        <v/>
      </c>
      <c r="V183" s="135" t="str">
        <f>IFERROR(VLOOKUP(C183,'06_TCT NUEVO BAZTÁN'!$F$6:$T$28,15,FALSE),"")</f>
        <v/>
      </c>
      <c r="W183" s="138" t="e">
        <f t="shared" si="171"/>
        <v>#VALUE!</v>
      </c>
      <c r="X183" s="139" t="e">
        <f t="shared" si="172"/>
        <v>#VALUE!</v>
      </c>
      <c r="Y183" s="140" t="str">
        <f t="shared" si="173"/>
        <v>Sí</v>
      </c>
      <c r="Z183" s="141">
        <f t="shared" si="174"/>
        <v>6</v>
      </c>
      <c r="AA183" s="148"/>
      <c r="AB183" s="262" t="str">
        <f>IFERROR(VLOOKUP(C183,Tabla15[[Piloto2]:[Puntos clase5]],4, FALSE), " ")</f>
        <v>2RM</v>
      </c>
    </row>
    <row r="184" spans="2:39" ht="12.75" customHeight="1" x14ac:dyDescent="0.3">
      <c r="B184" s="133">
        <v>2</v>
      </c>
      <c r="C184" s="134" t="s">
        <v>638</v>
      </c>
      <c r="D184" s="482">
        <v>4</v>
      </c>
      <c r="E184" s="482" t="str">
        <f>LEFT(AB184,LEN(AB184)-2)</f>
        <v>2</v>
      </c>
      <c r="F184" s="135" t="str">
        <f>IFERROR(VLOOKUP(C184,'01_RS ALCARRIA'!$F$6:$R$36,13,FALSE),"")</f>
        <v/>
      </c>
      <c r="G184" s="135" t="str">
        <f>IFERROR(VLOOKUP(C184,'01_RS ALCARRIA'!$F$6:$T$36,15,FALSE),"")</f>
        <v/>
      </c>
      <c r="H184" s="138" t="e">
        <f t="shared" si="166"/>
        <v>#VALUE!</v>
      </c>
      <c r="I184" s="135">
        <f>IFERROR(VLOOKUP(C184,'02_TCT GUADAMUR'!$F$6:$R$36,13,FALSE),"")</f>
        <v>0</v>
      </c>
      <c r="J184" s="135">
        <f>IFERROR(VLOOKUP(C184,'02_TCT GUADAMUR'!$F$6:$T$36,15,FALSE),"")</f>
        <v>5</v>
      </c>
      <c r="K184" s="138">
        <f t="shared" si="167"/>
        <v>5</v>
      </c>
      <c r="L184" s="135"/>
      <c r="M184" s="135"/>
      <c r="N184" s="138">
        <f t="shared" si="168"/>
        <v>0</v>
      </c>
      <c r="O184" s="135" t="str">
        <f>IFERROR(VLOOKUP(C184,'04_RALLYE CAM'!$F$6:$R$36,13,FALSE),"")</f>
        <v/>
      </c>
      <c r="P184" s="135" t="str">
        <f>IFERROR(VLOOKUP(C184,'04_RALLYE CAM'!$F$6:$T$36,15,FALSE),"")</f>
        <v/>
      </c>
      <c r="Q184" s="138" t="e">
        <f t="shared" si="169"/>
        <v>#VALUE!</v>
      </c>
      <c r="R184" s="135" t="str">
        <f>IFERROR(VLOOKUP(C184,'05_RS NAVALCARNERO'!$F$6:$R$28,13,FALSE),"")</f>
        <v/>
      </c>
      <c r="S184" s="135" t="str">
        <f>IFERROR(VLOOKUP(C184,'05_RS NAVALCARNERO'!$F$6:$T$28,15,FALSE),"")</f>
        <v/>
      </c>
      <c r="T184" s="138" t="e">
        <f t="shared" si="170"/>
        <v>#VALUE!</v>
      </c>
      <c r="U184" s="135" t="str">
        <f>IFERROR(VLOOKUP(C184,'06_TCT NUEVO BAZTÁN'!$F$6:$R$28,13,FALSE),"")</f>
        <v/>
      </c>
      <c r="V184" s="135" t="str">
        <f>IFERROR(VLOOKUP(C184,'06_TCT NUEVO BAZTÁN'!$F$6:$T$28,15,FALSE),"")</f>
        <v/>
      </c>
      <c r="W184" s="138" t="e">
        <f t="shared" si="171"/>
        <v>#VALUE!</v>
      </c>
      <c r="X184" s="139" t="e">
        <f t="shared" si="172"/>
        <v>#VALUE!</v>
      </c>
      <c r="Y184" s="140" t="str">
        <f t="shared" si="173"/>
        <v>Sí</v>
      </c>
      <c r="Z184" s="141">
        <f t="shared" si="174"/>
        <v>6</v>
      </c>
      <c r="AA184" s="148"/>
      <c r="AB184" s="262" t="str">
        <f>IFERROR(VLOOKUP(C184,Tabla15[[Piloto2]:[Puntos clase5]],4, FALSE), " ")</f>
        <v>2RM</v>
      </c>
    </row>
    <row r="185" spans="2:39" ht="12.75" customHeight="1" x14ac:dyDescent="0.3">
      <c r="B185" s="133">
        <v>22</v>
      </c>
      <c r="C185" s="142" t="s">
        <v>670</v>
      </c>
      <c r="D185" s="482">
        <v>4</v>
      </c>
      <c r="E185" s="482">
        <v>2</v>
      </c>
      <c r="F185" s="135" t="str">
        <f>IFERROR(VLOOKUP(C185,'01_RS ALCARRIA'!$F$6:$R$36,13,FALSE),"")</f>
        <v/>
      </c>
      <c r="G185" s="135" t="str">
        <f>IFERROR(VLOOKUP(C185,'01_RS ALCARRIA'!$F$6:$T$36,15,FALSE),"")</f>
        <v/>
      </c>
      <c r="H185" s="138" t="e">
        <f t="shared" si="166"/>
        <v>#VALUE!</v>
      </c>
      <c r="I185" s="135">
        <f>IFERROR(VLOOKUP(C185,'02_TCT GUADAMUR'!$F$6:$R$36,13,FALSE),"")</f>
        <v>8</v>
      </c>
      <c r="J185" s="135">
        <f>IFERROR(VLOOKUP(C185,'02_TCT GUADAMUR'!$F$6:$T$36,15,FALSE),"")</f>
        <v>10</v>
      </c>
      <c r="K185" s="138">
        <f t="shared" si="167"/>
        <v>18</v>
      </c>
      <c r="L185" s="135" t="str">
        <f>IFERROR(VLOOKUP(C185,'03_TCT MAQUEDA'!$F$6:$R$36,13,FALSE),"")</f>
        <v/>
      </c>
      <c r="M185" s="135" t="str">
        <f>IFERROR(VLOOKUP(C185,'03_TCT MAQUEDA'!$F$6:$T$36,15,FALSE),"")</f>
        <v/>
      </c>
      <c r="N185" s="138" t="e">
        <f t="shared" si="168"/>
        <v>#VALUE!</v>
      </c>
      <c r="O185" s="135" t="str">
        <f>IFERROR(VLOOKUP(C185,'04_RALLYE CAM'!$F$6:$R$36,13,FALSE),"")</f>
        <v/>
      </c>
      <c r="P185" s="135" t="str">
        <f>IFERROR(VLOOKUP(C185,'04_RALLYE CAM'!$F$6:$T$36,15,FALSE),"")</f>
        <v/>
      </c>
      <c r="Q185" s="138" t="e">
        <f t="shared" si="169"/>
        <v>#VALUE!</v>
      </c>
      <c r="R185" s="135" t="str">
        <f>IFERROR(VLOOKUP(C185,'05_RS NAVALCARNERO'!$F$6:$R$28,13,FALSE),"")</f>
        <v/>
      </c>
      <c r="S185" s="135" t="str">
        <f>IFERROR(VLOOKUP(C185,'05_RS NAVALCARNERO'!$F$6:$T$28,15,FALSE),"")</f>
        <v/>
      </c>
      <c r="T185" s="138" t="e">
        <f t="shared" si="170"/>
        <v>#VALUE!</v>
      </c>
      <c r="U185" s="135" t="str">
        <f>IFERROR(VLOOKUP(C185,'06_TCT NUEVO BAZTÁN'!$F$6:$R$28,13,FALSE),"")</f>
        <v/>
      </c>
      <c r="V185" s="135" t="str">
        <f>IFERROR(VLOOKUP(C185,'06_TCT NUEVO BAZTÁN'!$F$6:$T$28,15,FALSE),"")</f>
        <v/>
      </c>
      <c r="W185" s="138" t="e">
        <f t="shared" si="171"/>
        <v>#VALUE!</v>
      </c>
      <c r="X185" s="139" t="e">
        <f t="shared" si="172"/>
        <v>#VALUE!</v>
      </c>
      <c r="Y185" s="140" t="str">
        <f t="shared" si="173"/>
        <v>Sí</v>
      </c>
      <c r="Z185" s="141">
        <f t="shared" si="174"/>
        <v>6</v>
      </c>
      <c r="AA185" s="148"/>
      <c r="AB185" s="262" t="str">
        <f>IFERROR(VLOOKUP(C185,Tabla15[[Piloto2]:[Puntos clase5]],4, FALSE), " ")</f>
        <v xml:space="preserve"> </v>
      </c>
    </row>
    <row r="186" spans="2:39" ht="12.75" customHeight="1" x14ac:dyDescent="0.3">
      <c r="B186" s="133">
        <v>23</v>
      </c>
      <c r="C186" s="142" t="s">
        <v>672</v>
      </c>
      <c r="D186" s="482">
        <v>3</v>
      </c>
      <c r="E186" s="482">
        <v>2</v>
      </c>
      <c r="F186" s="135" t="str">
        <f>IFERROR(VLOOKUP(C186,'01_RS ALCARRIA'!$F$6:$R$36,13,FALSE),"")</f>
        <v/>
      </c>
      <c r="G186" s="135" t="str">
        <f>IFERROR(VLOOKUP(C186,'01_RS ALCARRIA'!$F$6:$T$36,15,FALSE),"")</f>
        <v/>
      </c>
      <c r="H186" s="138" t="e">
        <f t="shared" si="166"/>
        <v>#VALUE!</v>
      </c>
      <c r="I186" s="135">
        <f>IFERROR(VLOOKUP(C186,'02_TCT GUADAMUR'!$F$6:$R$36,13,FALSE),"")</f>
        <v>6</v>
      </c>
      <c r="J186" s="135">
        <f>IFERROR(VLOOKUP(C186,'02_TCT GUADAMUR'!$F$6:$T$36,15,FALSE),"")</f>
        <v>8</v>
      </c>
      <c r="K186" s="138">
        <f t="shared" si="167"/>
        <v>14</v>
      </c>
      <c r="L186" s="135">
        <v>0</v>
      </c>
      <c r="M186" s="135">
        <v>0</v>
      </c>
      <c r="N186" s="138">
        <f t="shared" si="168"/>
        <v>0</v>
      </c>
      <c r="O186" s="135" t="str">
        <f>IFERROR(VLOOKUP(C186,'04_RALLYE CAM'!$F$6:$R$36,13,FALSE),"")</f>
        <v/>
      </c>
      <c r="P186" s="135" t="str">
        <f>IFERROR(VLOOKUP(C186,'04_RALLYE CAM'!$F$6:$T$36,15,FALSE),"")</f>
        <v/>
      </c>
      <c r="Q186" s="138" t="e">
        <f t="shared" si="169"/>
        <v>#VALUE!</v>
      </c>
      <c r="R186" s="135" t="str">
        <f>IFERROR(VLOOKUP(C186,'05_RS NAVALCARNERO'!$F$6:$R$28,13,FALSE),"")</f>
        <v/>
      </c>
      <c r="S186" s="135" t="str">
        <f>IFERROR(VLOOKUP(C186,'05_RS NAVALCARNERO'!$F$6:$T$28,15,FALSE),"")</f>
        <v/>
      </c>
      <c r="T186" s="138" t="e">
        <f t="shared" si="170"/>
        <v>#VALUE!</v>
      </c>
      <c r="U186" s="135" t="str">
        <f>IFERROR(VLOOKUP(C186,'06_TCT NUEVO BAZTÁN'!$F$6:$R$28,13,FALSE),"")</f>
        <v/>
      </c>
      <c r="V186" s="135" t="str">
        <f>IFERROR(VLOOKUP(C186,'06_TCT NUEVO BAZTÁN'!$F$6:$T$28,15,FALSE),"")</f>
        <v/>
      </c>
      <c r="W186" s="138" t="e">
        <f t="shared" si="171"/>
        <v>#VALUE!</v>
      </c>
      <c r="X186" s="139" t="e">
        <f t="shared" si="172"/>
        <v>#VALUE!</v>
      </c>
      <c r="Y186" s="140" t="str">
        <f t="shared" si="173"/>
        <v>Sí</v>
      </c>
      <c r="Z186" s="141">
        <f t="shared" si="174"/>
        <v>6</v>
      </c>
      <c r="AA186" s="148"/>
      <c r="AB186" s="262" t="str">
        <f>IFERROR(VLOOKUP(C186,Tabla15[[Piloto2]:[Puntos clase5]],4, FALSE), " ")</f>
        <v xml:space="preserve"> </v>
      </c>
    </row>
    <row r="187" spans="2:39" ht="12.75" customHeight="1" x14ac:dyDescent="0.3">
      <c r="B187" s="133">
        <v>24</v>
      </c>
      <c r="C187" s="142" t="s">
        <v>673</v>
      </c>
      <c r="D187" s="482">
        <v>3</v>
      </c>
      <c r="E187" s="482">
        <v>2</v>
      </c>
      <c r="F187" s="135" t="str">
        <f>IFERROR(VLOOKUP(C187,'01_RS ALCARRIA'!$F$6:$R$36,13,FALSE),"")</f>
        <v/>
      </c>
      <c r="G187" s="135" t="str">
        <f>IFERROR(VLOOKUP(C187,'01_RS ALCARRIA'!$F$6:$T$36,15,FALSE),"")</f>
        <v/>
      </c>
      <c r="H187" s="138" t="e">
        <f t="shared" si="166"/>
        <v>#VALUE!</v>
      </c>
      <c r="I187" s="135">
        <f>IFERROR(VLOOKUP(C187,'02_TCT GUADAMUR'!$F$6:$R$36,13,FALSE),"")</f>
        <v>3</v>
      </c>
      <c r="J187" s="135">
        <f>IFERROR(VLOOKUP(C187,'02_TCT GUADAMUR'!$F$6:$T$36,15,FALSE),"")</f>
        <v>5</v>
      </c>
      <c r="K187" s="138">
        <f t="shared" si="167"/>
        <v>8</v>
      </c>
      <c r="L187" s="135" t="str">
        <f>IFERROR(VLOOKUP(C187,'03_TCT MAQUEDA'!$F$6:$R$36,13,FALSE),"")</f>
        <v/>
      </c>
      <c r="M187" s="135" t="str">
        <f>IFERROR(VLOOKUP(C187,'03_TCT MAQUEDA'!$F$6:$T$36,15,FALSE),"")</f>
        <v/>
      </c>
      <c r="N187" s="138" t="e">
        <f t="shared" si="168"/>
        <v>#VALUE!</v>
      </c>
      <c r="O187" s="135" t="str">
        <f>IFERROR(VLOOKUP(C187,'04_RALLYE CAM'!$F$6:$R$36,13,FALSE),"")</f>
        <v/>
      </c>
      <c r="P187" s="135" t="str">
        <f>IFERROR(VLOOKUP(C187,'04_RALLYE CAM'!$F$6:$T$36,15,FALSE),"")</f>
        <v/>
      </c>
      <c r="Q187" s="138" t="e">
        <f t="shared" si="169"/>
        <v>#VALUE!</v>
      </c>
      <c r="R187" s="135" t="str">
        <f>IFERROR(VLOOKUP(C187,'05_RS NAVALCARNERO'!$F$6:$R$28,13,FALSE),"")</f>
        <v/>
      </c>
      <c r="S187" s="135" t="str">
        <f>IFERROR(VLOOKUP(C187,'05_RS NAVALCARNERO'!$F$6:$T$28,15,FALSE),"")</f>
        <v/>
      </c>
      <c r="T187" s="138" t="e">
        <f t="shared" si="170"/>
        <v>#VALUE!</v>
      </c>
      <c r="U187" s="135" t="str">
        <f>IFERROR(VLOOKUP(C187,'06_TCT NUEVO BAZTÁN'!$F$6:$R$28,13,FALSE),"")</f>
        <v/>
      </c>
      <c r="V187" s="135" t="str">
        <f>IFERROR(VLOOKUP(C187,'06_TCT NUEVO BAZTÁN'!$F$6:$T$28,15,FALSE),"")</f>
        <v/>
      </c>
      <c r="W187" s="138" t="e">
        <f t="shared" si="171"/>
        <v>#VALUE!</v>
      </c>
      <c r="X187" s="139" t="e">
        <f t="shared" si="172"/>
        <v>#VALUE!</v>
      </c>
      <c r="Y187" s="140" t="str">
        <f t="shared" si="173"/>
        <v>Sí</v>
      </c>
      <c r="Z187" s="141">
        <f t="shared" si="174"/>
        <v>6</v>
      </c>
      <c r="AA187" s="148"/>
      <c r="AB187" s="262" t="str">
        <f>IFERROR(VLOOKUP(C187,Tabla15[[Piloto2]:[Puntos clase5]],4, FALSE), " ")</f>
        <v xml:space="preserve"> </v>
      </c>
    </row>
    <row r="188" spans="2:39" ht="12.75" customHeight="1" x14ac:dyDescent="0.3">
      <c r="B188" s="133">
        <v>25</v>
      </c>
      <c r="C188" s="142" t="s">
        <v>638</v>
      </c>
      <c r="D188" s="482">
        <v>2</v>
      </c>
      <c r="E188" s="482">
        <v>2</v>
      </c>
      <c r="F188" s="135" t="str">
        <f>IFERROR(VLOOKUP(C188,'01_RS ALCARRIA'!$F$6:$R$36,13,FALSE),"")</f>
        <v/>
      </c>
      <c r="G188" s="135" t="str">
        <f>IFERROR(VLOOKUP(C188,'01_RS ALCARRIA'!$F$6:$T$36,15,FALSE),"")</f>
        <v/>
      </c>
      <c r="H188" s="138" t="e">
        <f t="shared" si="166"/>
        <v>#VALUE!</v>
      </c>
      <c r="I188" s="135"/>
      <c r="J188" s="135"/>
      <c r="K188" s="138">
        <f t="shared" si="167"/>
        <v>0</v>
      </c>
      <c r="L188" s="135">
        <f>IFERROR(VLOOKUP(C188,'03_TCT MAQUEDA'!$F$6:$R$36,13,FALSE),"")</f>
        <v>6</v>
      </c>
      <c r="M188" s="135">
        <f>IFERROR(VLOOKUP(C188,'03_TCT MAQUEDA'!$F$6:$T$36,15,FALSE),"")</f>
        <v>10</v>
      </c>
      <c r="N188" s="138">
        <f t="shared" si="168"/>
        <v>16</v>
      </c>
      <c r="O188" s="135" t="str">
        <f>IFERROR(VLOOKUP(C188,'04_RALLYE CAM'!$F$6:$R$36,13,FALSE),"")</f>
        <v/>
      </c>
      <c r="P188" s="135" t="str">
        <f>IFERROR(VLOOKUP(C188,'04_RALLYE CAM'!$F$6:$T$36,15,FALSE),"")</f>
        <v/>
      </c>
      <c r="Q188" s="138" t="e">
        <f t="shared" si="169"/>
        <v>#VALUE!</v>
      </c>
      <c r="R188" s="135" t="str">
        <f>IFERROR(VLOOKUP(C188,'05_RS NAVALCARNERO'!$F$6:$R$28,13,FALSE),"")</f>
        <v/>
      </c>
      <c r="S188" s="135" t="str">
        <f>IFERROR(VLOOKUP(C188,'05_RS NAVALCARNERO'!$F$6:$T$28,15,FALSE),"")</f>
        <v/>
      </c>
      <c r="T188" s="138" t="e">
        <f t="shared" si="170"/>
        <v>#VALUE!</v>
      </c>
      <c r="U188" s="135" t="str">
        <f>IFERROR(VLOOKUP(C188,'06_TCT NUEVO BAZTÁN'!$F$6:$R$28,13,FALSE),"")</f>
        <v/>
      </c>
      <c r="V188" s="135" t="str">
        <f>IFERROR(VLOOKUP(C188,'06_TCT NUEVO BAZTÁN'!$F$6:$T$28,15,FALSE),"")</f>
        <v/>
      </c>
      <c r="W188" s="138" t="e">
        <f t="shared" si="171"/>
        <v>#VALUE!</v>
      </c>
      <c r="X188" s="139" t="e">
        <f t="shared" si="172"/>
        <v>#VALUE!</v>
      </c>
      <c r="Y188" s="140" t="str">
        <f t="shared" si="173"/>
        <v>Sí</v>
      </c>
      <c r="Z188" s="141">
        <f t="shared" si="174"/>
        <v>6</v>
      </c>
      <c r="AA188" s="148"/>
      <c r="AB188" s="262" t="str">
        <f>IFERROR(VLOOKUP(C188,Tabla15[[Piloto2]:[Puntos clase5]],4, FALSE), " ")</f>
        <v>2RM</v>
      </c>
    </row>
    <row r="189" spans="2:39" ht="12.75" customHeight="1" x14ac:dyDescent="0.3">
      <c r="B189" s="133">
        <v>26</v>
      </c>
      <c r="C189" s="142" t="s">
        <v>677</v>
      </c>
      <c r="D189" s="482">
        <v>4</v>
      </c>
      <c r="E189" s="482">
        <v>2</v>
      </c>
      <c r="F189" s="135" t="str">
        <f>IFERROR(VLOOKUP(C189,'01_RS ALCARRIA'!$F$6:$R$36,13,FALSE),"")</f>
        <v/>
      </c>
      <c r="G189" s="135" t="str">
        <f>IFERROR(VLOOKUP(C189,'01_RS ALCARRIA'!$F$6:$T$36,15,FALSE),"")</f>
        <v/>
      </c>
      <c r="H189" s="138" t="e">
        <f t="shared" si="166"/>
        <v>#VALUE!</v>
      </c>
      <c r="I189" s="135">
        <f>IFERROR(VLOOKUP(C189,'02_TCT GUADAMUR'!$F$6:$R$36,13,FALSE),"")</f>
        <v>0</v>
      </c>
      <c r="J189" s="135">
        <f>IFERROR(VLOOKUP(C189,'02_TCT GUADAMUR'!$F$6:$T$36,15,FALSE),"")</f>
        <v>6</v>
      </c>
      <c r="K189" s="138">
        <f t="shared" si="167"/>
        <v>6</v>
      </c>
      <c r="L189" s="135">
        <f>IFERROR(VLOOKUP(C189,'03_TCT MAQUEDA'!$F$6:$R$36,13,FALSE),"")</f>
        <v>0</v>
      </c>
      <c r="M189" s="135">
        <f>IFERROR(VLOOKUP(C189,'03_TCT MAQUEDA'!$F$6:$T$36,15,FALSE),"")</f>
        <v>8</v>
      </c>
      <c r="N189" s="138">
        <f t="shared" si="168"/>
        <v>8</v>
      </c>
      <c r="O189" s="135" t="str">
        <f>IFERROR(VLOOKUP(C189,'04_RALLYE CAM'!$F$6:$R$36,13,FALSE),"")</f>
        <v/>
      </c>
      <c r="P189" s="135" t="str">
        <f>IFERROR(VLOOKUP(C189,'04_RALLYE CAM'!$F$6:$T$36,15,FALSE),"")</f>
        <v/>
      </c>
      <c r="Q189" s="138" t="e">
        <f t="shared" si="169"/>
        <v>#VALUE!</v>
      </c>
      <c r="R189" s="135" t="str">
        <f>IFERROR(VLOOKUP(C189,'05_RS NAVALCARNERO'!$F$6:$R$28,13,FALSE),"")</f>
        <v/>
      </c>
      <c r="S189" s="135" t="str">
        <f>IFERROR(VLOOKUP(C189,'05_RS NAVALCARNERO'!$F$6:$T$28,15,FALSE),"")</f>
        <v/>
      </c>
      <c r="T189" s="138" t="e">
        <f t="shared" si="170"/>
        <v>#VALUE!</v>
      </c>
      <c r="U189" s="135" t="str">
        <f>IFERROR(VLOOKUP(C189,'06_TCT NUEVO BAZTÁN'!$F$6:$R$28,13,FALSE),"")</f>
        <v/>
      </c>
      <c r="V189" s="135" t="str">
        <f>IFERROR(VLOOKUP(C189,'06_TCT NUEVO BAZTÁN'!$F$6:$T$28,15,FALSE),"")</f>
        <v/>
      </c>
      <c r="W189" s="138" t="e">
        <f t="shared" si="171"/>
        <v>#VALUE!</v>
      </c>
      <c r="X189" s="139" t="e">
        <f t="shared" si="172"/>
        <v>#VALUE!</v>
      </c>
      <c r="Y189" s="140" t="str">
        <f t="shared" si="173"/>
        <v>Sí</v>
      </c>
      <c r="Z189" s="141">
        <f t="shared" si="174"/>
        <v>6</v>
      </c>
      <c r="AA189" s="148"/>
      <c r="AB189" s="262" t="str">
        <f>IFERROR(VLOOKUP(C189,Tabla15[[Piloto2]:[Puntos clase5]],4, FALSE), " ")</f>
        <v xml:space="preserve"> </v>
      </c>
    </row>
    <row r="190" spans="2:39" ht="12.75" customHeight="1" x14ac:dyDescent="0.3">
      <c r="B190" s="133">
        <v>27</v>
      </c>
      <c r="C190" s="142" t="s">
        <v>458</v>
      </c>
      <c r="D190" s="482">
        <v>1</v>
      </c>
      <c r="E190" s="482">
        <v>4</v>
      </c>
      <c r="F190" s="135" t="str">
        <f>IFERROR(VLOOKUP(C190,'01_RS ALCARRIA'!$F$6:$R$36,13,FALSE),"")</f>
        <v/>
      </c>
      <c r="G190" s="135" t="str">
        <f>IFERROR(VLOOKUP(C190,'01_RS ALCARRIA'!$F$6:$T$36,15,FALSE),"")</f>
        <v/>
      </c>
      <c r="H190" s="138" t="e">
        <f t="shared" si="166"/>
        <v>#VALUE!</v>
      </c>
      <c r="I190" s="135" t="str">
        <f>IFERROR(VLOOKUP(C190,'02_TCT GUADAMUR'!$F$6:$R$36,13,FALSE),"")</f>
        <v/>
      </c>
      <c r="J190" s="135" t="str">
        <f>IFERROR(VLOOKUP(C190,'02_TCT GUADAMUR'!$F$6:$T$36,15,FALSE),"")</f>
        <v/>
      </c>
      <c r="K190" s="138" t="e">
        <f t="shared" si="167"/>
        <v>#VALUE!</v>
      </c>
      <c r="L190" s="135" t="str">
        <f>IFERROR(VLOOKUP(C190,'03_TCT MAQUEDA'!$F$6:$R$36,13,FALSE),"")</f>
        <v/>
      </c>
      <c r="M190" s="135" t="str">
        <f>IFERROR(VLOOKUP(C190,'03_TCT MAQUEDA'!$F$6:$T$36,15,FALSE),"")</f>
        <v/>
      </c>
      <c r="N190" s="138" t="e">
        <f t="shared" si="168"/>
        <v>#VALUE!</v>
      </c>
      <c r="O190" s="135" t="str">
        <f>IFERROR(VLOOKUP(C190,'04_RALLYE CAM'!$F$6:$R$36,13,FALSE),"")</f>
        <v/>
      </c>
      <c r="P190" s="135" t="str">
        <f>IFERROR(VLOOKUP(C190,'04_RALLYE CAM'!$F$6:$T$36,15,FALSE),"")</f>
        <v/>
      </c>
      <c r="Q190" s="138" t="e">
        <f t="shared" si="169"/>
        <v>#VALUE!</v>
      </c>
      <c r="R190" s="135" t="str">
        <f>IFERROR(VLOOKUP(C190,'05_RS NAVALCARNERO'!$F$6:$R$28,13,FALSE),"")</f>
        <v/>
      </c>
      <c r="S190" s="135" t="str">
        <f>IFERROR(VLOOKUP(C190,'05_RS NAVALCARNERO'!$F$6:$T$28,15,FALSE),"")</f>
        <v/>
      </c>
      <c r="T190" s="138" t="e">
        <f t="shared" si="170"/>
        <v>#VALUE!</v>
      </c>
      <c r="U190" s="135" t="str">
        <f>IFERROR(VLOOKUP(C190,'06_TCT NUEVO BAZTÁN'!$F$6:$R$28,13,FALSE),"")</f>
        <v/>
      </c>
      <c r="V190" s="135" t="str">
        <f>IFERROR(VLOOKUP(C190,'06_TCT NUEVO BAZTÁN'!$F$6:$T$28,15,FALSE),"")</f>
        <v/>
      </c>
      <c r="W190" s="138" t="e">
        <f t="shared" si="171"/>
        <v>#VALUE!</v>
      </c>
      <c r="X190" s="139" t="e">
        <f t="shared" si="172"/>
        <v>#VALUE!</v>
      </c>
      <c r="Y190" s="140" t="str">
        <f t="shared" si="173"/>
        <v>Sí</v>
      </c>
      <c r="Z190" s="141">
        <f t="shared" si="174"/>
        <v>6</v>
      </c>
      <c r="AA190" s="148"/>
      <c r="AB190" s="262" t="str">
        <f>IFERROR(VLOOKUP(C190,Tabla15[[Piloto2]:[Puntos clase5]],4, FALSE), " ")</f>
        <v xml:space="preserve"> </v>
      </c>
    </row>
    <row r="191" spans="2:39" ht="12.75" customHeight="1" x14ac:dyDescent="0.3">
      <c r="B191" s="133">
        <v>28</v>
      </c>
      <c r="C191" s="142" t="s">
        <v>679</v>
      </c>
      <c r="D191" s="482">
        <v>1</v>
      </c>
      <c r="E191" s="482">
        <v>4</v>
      </c>
      <c r="F191" s="135" t="str">
        <f>IFERROR(VLOOKUP(C191,'01_RS ALCARRIA'!$F$6:$R$36,13,FALSE),"")</f>
        <v/>
      </c>
      <c r="G191" s="135" t="str">
        <f>IFERROR(VLOOKUP(C191,'01_RS ALCARRIA'!$F$6:$T$36,15,FALSE),"")</f>
        <v/>
      </c>
      <c r="H191" s="138" t="e">
        <f t="shared" si="166"/>
        <v>#VALUE!</v>
      </c>
      <c r="I191" s="135" t="str">
        <f>IFERROR(VLOOKUP(C191,'02_TCT GUADAMUR'!$F$6:$R$36,13,FALSE),"")</f>
        <v/>
      </c>
      <c r="J191" s="135" t="str">
        <f>IFERROR(VLOOKUP(C191,'02_TCT GUADAMUR'!$F$6:$T$36,15,FALSE),"")</f>
        <v/>
      </c>
      <c r="K191" s="138" t="e">
        <f t="shared" si="167"/>
        <v>#VALUE!</v>
      </c>
      <c r="L191" s="135">
        <f>IFERROR(VLOOKUP(C191,'03_TCT MAQUEDA'!$F$6:$R$36,13,FALSE),"")</f>
        <v>0</v>
      </c>
      <c r="M191" s="135">
        <f>IFERROR(VLOOKUP(C191,'03_TCT MAQUEDA'!$F$6:$T$36,15,FALSE),"")</f>
        <v>6</v>
      </c>
      <c r="N191" s="138">
        <f t="shared" si="168"/>
        <v>6</v>
      </c>
      <c r="O191" s="135" t="str">
        <f>IFERROR(VLOOKUP(C191,'04_RALLYE CAM'!$F$6:$R$36,13,FALSE),"")</f>
        <v/>
      </c>
      <c r="P191" s="135" t="str">
        <f>IFERROR(VLOOKUP(C191,'04_RALLYE CAM'!$F$6:$T$36,15,FALSE),"")</f>
        <v/>
      </c>
      <c r="Q191" s="138" t="e">
        <f t="shared" si="169"/>
        <v>#VALUE!</v>
      </c>
      <c r="R191" s="135" t="str">
        <f>IFERROR(VLOOKUP(C191,'05_RS NAVALCARNERO'!$F$6:$R$28,13,FALSE),"")</f>
        <v/>
      </c>
      <c r="S191" s="135" t="str">
        <f>IFERROR(VLOOKUP(C191,'05_RS NAVALCARNERO'!$F$6:$T$28,15,FALSE),"")</f>
        <v/>
      </c>
      <c r="T191" s="138" t="e">
        <f t="shared" si="170"/>
        <v>#VALUE!</v>
      </c>
      <c r="U191" s="135" t="str">
        <f>IFERROR(VLOOKUP(C191,'06_TCT NUEVO BAZTÁN'!$F$6:$R$28,13,FALSE),"")</f>
        <v/>
      </c>
      <c r="V191" s="135" t="str">
        <f>IFERROR(VLOOKUP(C191,'06_TCT NUEVO BAZTÁN'!$F$6:$T$28,15,FALSE),"")</f>
        <v/>
      </c>
      <c r="W191" s="138" t="e">
        <f t="shared" si="171"/>
        <v>#VALUE!</v>
      </c>
      <c r="X191" s="139" t="e">
        <f t="shared" si="172"/>
        <v>#VALUE!</v>
      </c>
      <c r="Y191" s="140" t="str">
        <f t="shared" si="173"/>
        <v>Sí</v>
      </c>
      <c r="Z191" s="141">
        <f t="shared" si="174"/>
        <v>6</v>
      </c>
      <c r="AA191" s="148"/>
      <c r="AB191" s="262" t="str">
        <f>IFERROR(VLOOKUP(C191,Tabla15[[Piloto2]:[Puntos clase5]],4, FALSE), " ")</f>
        <v xml:space="preserve"> </v>
      </c>
    </row>
    <row r="192" spans="2:39" ht="12.75" customHeight="1" x14ac:dyDescent="0.3">
      <c r="B192" s="133">
        <v>28</v>
      </c>
      <c r="C192" s="142" t="s">
        <v>681</v>
      </c>
      <c r="D192" s="482">
        <v>3</v>
      </c>
      <c r="E192" s="482">
        <v>2</v>
      </c>
      <c r="F192" s="135" t="str">
        <f>IFERROR(VLOOKUP(C192,'01_RS ALCARRIA'!$F$6:$R$36,13,FALSE),"")</f>
        <v/>
      </c>
      <c r="G192" s="135" t="str">
        <f>IFERROR(VLOOKUP(C192,'01_RS ALCARRIA'!$F$6:$T$36,15,FALSE),"")</f>
        <v/>
      </c>
      <c r="H192" s="138" t="e">
        <f t="shared" si="166"/>
        <v>#VALUE!</v>
      </c>
      <c r="I192" s="135" t="str">
        <f>IFERROR(VLOOKUP(C192,'02_TCT GUADAMUR'!$F$6:$R$36,13,FALSE),"")</f>
        <v/>
      </c>
      <c r="J192" s="135" t="str">
        <f>IFERROR(VLOOKUP(C192,'02_TCT GUADAMUR'!$F$6:$T$36,15,FALSE),"")</f>
        <v/>
      </c>
      <c r="K192" s="138" t="e">
        <f t="shared" si="167"/>
        <v>#VALUE!</v>
      </c>
      <c r="L192" s="135">
        <v>0</v>
      </c>
      <c r="M192" s="135">
        <v>0</v>
      </c>
      <c r="N192" s="138">
        <f t="shared" si="168"/>
        <v>0</v>
      </c>
      <c r="O192" s="135" t="str">
        <f>IFERROR(VLOOKUP(C192,'04_RALLYE CAM'!$F$6:$R$36,13,FALSE),"")</f>
        <v/>
      </c>
      <c r="P192" s="135" t="str">
        <f>IFERROR(VLOOKUP(C192,'04_RALLYE CAM'!$F$6:$T$36,15,FALSE),"")</f>
        <v/>
      </c>
      <c r="Q192" s="138" t="e">
        <f t="shared" si="169"/>
        <v>#VALUE!</v>
      </c>
      <c r="R192" s="135" t="str">
        <f>IFERROR(VLOOKUP(C192,'05_RS NAVALCARNERO'!$F$6:$R$28,13,FALSE),"")</f>
        <v/>
      </c>
      <c r="S192" s="135" t="str">
        <f>IFERROR(VLOOKUP(C192,'05_RS NAVALCARNERO'!$F$6:$T$28,15,FALSE),"")</f>
        <v/>
      </c>
      <c r="T192" s="138" t="e">
        <f t="shared" si="170"/>
        <v>#VALUE!</v>
      </c>
      <c r="U192" s="135" t="str">
        <f>IFERROR(VLOOKUP(C192,'06_TCT NUEVO BAZTÁN'!$F$6:$R$28,13,FALSE),"")</f>
        <v/>
      </c>
      <c r="V192" s="135" t="str">
        <f>IFERROR(VLOOKUP(C192,'06_TCT NUEVO BAZTÁN'!$F$6:$T$28,15,FALSE),"")</f>
        <v/>
      </c>
      <c r="W192" s="138" t="e">
        <f t="shared" si="171"/>
        <v>#VALUE!</v>
      </c>
      <c r="X192" s="139" t="e">
        <f t="shared" si="172"/>
        <v>#VALUE!</v>
      </c>
      <c r="Y192" s="140" t="str">
        <f t="shared" si="173"/>
        <v>Sí</v>
      </c>
      <c r="Z192" s="141">
        <f t="shared" si="174"/>
        <v>6</v>
      </c>
      <c r="AA192" s="148"/>
      <c r="AB192" s="262" t="str">
        <f>IFERROR(VLOOKUP(C192,Tabla15[[Piloto2]:[Puntos clase5]],4, FALSE), " ")</f>
        <v xml:space="preserve"> </v>
      </c>
    </row>
    <row r="193" spans="2:39" ht="12.75" customHeight="1" x14ac:dyDescent="0.3">
      <c r="B193" s="133"/>
      <c r="C193" s="142" t="s">
        <v>684</v>
      </c>
      <c r="D193" s="482">
        <v>4</v>
      </c>
      <c r="E193" s="482">
        <v>2</v>
      </c>
      <c r="F193" s="135" t="str">
        <f>IFERROR(VLOOKUP(C193,'01_RS ALCARRIA'!$F$6:$R$36,13,FALSE),"")</f>
        <v/>
      </c>
      <c r="G193" s="135" t="str">
        <f>IFERROR(VLOOKUP(C193,'01_RS ALCARRIA'!$F$6:$T$36,15,FALSE),"")</f>
        <v/>
      </c>
      <c r="H193" s="138" t="e">
        <f t="shared" si="166"/>
        <v>#VALUE!</v>
      </c>
      <c r="I193" s="135" t="str">
        <f>IFERROR(VLOOKUP(C193,'02_TCT GUADAMUR'!$F$6:$R$36,13,FALSE),"")</f>
        <v/>
      </c>
      <c r="J193" s="135" t="str">
        <f>IFERROR(VLOOKUP(C193,'02_TCT GUADAMUR'!$F$6:$T$36,15,FALSE),"")</f>
        <v/>
      </c>
      <c r="K193" s="138" t="e">
        <f t="shared" si="167"/>
        <v>#VALUE!</v>
      </c>
      <c r="L193" s="135">
        <f>IFERROR(VLOOKUP(C193,'03_TCT MAQUEDA'!$F$6:$R$36,13,FALSE),"")</f>
        <v>0</v>
      </c>
      <c r="M193" s="135">
        <f>IFERROR(VLOOKUP(C193,'03_TCT MAQUEDA'!$F$6:$T$36,15,FALSE),"")</f>
        <v>6</v>
      </c>
      <c r="N193" s="138">
        <f t="shared" si="168"/>
        <v>6</v>
      </c>
      <c r="O193" s="135" t="str">
        <f>IFERROR(VLOOKUP(C193,'04_RALLYE CAM'!$F$6:$R$36,13,FALSE),"")</f>
        <v/>
      </c>
      <c r="P193" s="135" t="str">
        <f>IFERROR(VLOOKUP(C193,'04_RALLYE CAM'!$F$6:$T$36,15,FALSE),"")</f>
        <v/>
      </c>
      <c r="Q193" s="138" t="e">
        <f t="shared" si="169"/>
        <v>#VALUE!</v>
      </c>
      <c r="R193" s="135" t="str">
        <f>IFERROR(VLOOKUP(C193,'05_RS NAVALCARNERO'!$F$6:$R$28,13,FALSE),"")</f>
        <v/>
      </c>
      <c r="S193" s="135" t="str">
        <f>IFERROR(VLOOKUP(C193,'05_RS NAVALCARNERO'!$F$6:$T$28,15,FALSE),"")</f>
        <v/>
      </c>
      <c r="T193" s="138" t="e">
        <f t="shared" si="170"/>
        <v>#VALUE!</v>
      </c>
      <c r="U193" s="135" t="str">
        <f>IFERROR(VLOOKUP(C193,'06_TCT NUEVO BAZTÁN'!$F$6:$R$28,13,FALSE),"")</f>
        <v/>
      </c>
      <c r="V193" s="135" t="str">
        <f>IFERROR(VLOOKUP(C193,'06_TCT NUEVO BAZTÁN'!$F$6:$T$28,15,FALSE),"")</f>
        <v/>
      </c>
      <c r="W193" s="138" t="e">
        <f t="shared" si="171"/>
        <v>#VALUE!</v>
      </c>
      <c r="X193" s="139" t="e">
        <f t="shared" si="172"/>
        <v>#VALUE!</v>
      </c>
      <c r="Y193" s="140" t="str">
        <f t="shared" si="173"/>
        <v>Sí</v>
      </c>
      <c r="Z193" s="141">
        <f t="shared" si="174"/>
        <v>6</v>
      </c>
      <c r="AA193" s="148"/>
      <c r="AB193" s="262" t="str">
        <f>IFERROR(VLOOKUP(C193,Tabla15[[Piloto2]:[Puntos clase5]],4, FALSE), " ")</f>
        <v xml:space="preserve"> </v>
      </c>
    </row>
    <row r="194" spans="2:39" ht="12.75" customHeight="1" x14ac:dyDescent="0.3">
      <c r="B194" s="133"/>
      <c r="C194" s="142" t="s">
        <v>669</v>
      </c>
      <c r="D194" s="482">
        <v>2</v>
      </c>
      <c r="E194" s="482">
        <v>2</v>
      </c>
      <c r="F194" s="135" t="str">
        <f>IFERROR(VLOOKUP(C194,'01_RS ALCARRIA'!$F$6:$R$36,13,FALSE),"")</f>
        <v/>
      </c>
      <c r="G194" s="135" t="str">
        <f>IFERROR(VLOOKUP(C194,'01_RS ALCARRIA'!$F$6:$T$36,15,FALSE),"")</f>
        <v/>
      </c>
      <c r="H194" s="138" t="e">
        <f t="shared" si="166"/>
        <v>#VALUE!</v>
      </c>
      <c r="I194" s="135">
        <f>IFERROR(VLOOKUP(C194,'02_TCT GUADAMUR'!$F$6:$R$36,13,FALSE),"")</f>
        <v>20</v>
      </c>
      <c r="J194" s="135">
        <f>IFERROR(VLOOKUP(C194,'02_TCT GUADAMUR'!$F$6:$T$36,15,FALSE),"")</f>
        <v>8</v>
      </c>
      <c r="K194" s="138">
        <f t="shared" si="167"/>
        <v>28</v>
      </c>
      <c r="L194" s="135">
        <f>IFERROR(VLOOKUP(C194,'03_TCT MAQUEDA'!$F$6:$R$36,13,FALSE),"")</f>
        <v>12</v>
      </c>
      <c r="M194" s="135">
        <f>IFERROR(VLOOKUP(C194,'03_TCT MAQUEDA'!$F$6:$T$36,15,FALSE),"")</f>
        <v>6</v>
      </c>
      <c r="N194" s="138">
        <f t="shared" si="168"/>
        <v>18</v>
      </c>
      <c r="O194" s="135" t="str">
        <f>IFERROR(VLOOKUP(C194,'04_RALLYE CAM'!$F$6:$R$36,13,FALSE),"")</f>
        <v/>
      </c>
      <c r="P194" s="135" t="str">
        <f>IFERROR(VLOOKUP(C194,'04_RALLYE CAM'!$F$6:$T$36,15,FALSE),"")</f>
        <v/>
      </c>
      <c r="Q194" s="138" t="e">
        <f t="shared" si="169"/>
        <v>#VALUE!</v>
      </c>
      <c r="R194" s="135" t="str">
        <f>IFERROR(VLOOKUP(C194,'05_RS NAVALCARNERO'!$F$6:$R$28,13,FALSE),"")</f>
        <v/>
      </c>
      <c r="S194" s="135" t="str">
        <f>IFERROR(VLOOKUP(C194,'05_RS NAVALCARNERO'!$F$6:$T$28,15,FALSE),"")</f>
        <v/>
      </c>
      <c r="T194" s="138" t="e">
        <f t="shared" si="170"/>
        <v>#VALUE!</v>
      </c>
      <c r="U194" s="135" t="str">
        <f>IFERROR(VLOOKUP(C194,'06_TCT NUEVO BAZTÁN'!$F$6:$R$28,13,FALSE),"")</f>
        <v/>
      </c>
      <c r="V194" s="135" t="str">
        <f>IFERROR(VLOOKUP(C194,'06_TCT NUEVO BAZTÁN'!$F$6:$T$28,15,FALSE),"")</f>
        <v/>
      </c>
      <c r="W194" s="138" t="e">
        <f t="shared" si="171"/>
        <v>#VALUE!</v>
      </c>
      <c r="X194" s="139" t="e">
        <f>H194+K194+N194+Q194+T194+W194</f>
        <v>#VALUE!</v>
      </c>
      <c r="Y194" s="140" t="str">
        <f t="shared" si="173"/>
        <v>Sí</v>
      </c>
      <c r="Z194" s="141">
        <f t="shared" si="174"/>
        <v>6</v>
      </c>
      <c r="AA194" s="148"/>
      <c r="AB194" s="262" t="str">
        <f>IFERROR(VLOOKUP(C194,Tabla15[[Piloto2]:[Puntos clase5]],4, FALSE), " ")</f>
        <v xml:space="preserve"> </v>
      </c>
    </row>
    <row r="195" spans="2:39" ht="12.75" customHeight="1" x14ac:dyDescent="0.3">
      <c r="B195" s="152"/>
      <c r="C195" s="142" t="s">
        <v>696</v>
      </c>
      <c r="D195" s="482">
        <v>1</v>
      </c>
      <c r="E195" s="482">
        <v>4</v>
      </c>
      <c r="F195" s="135" t="str">
        <f>IFERROR(VLOOKUP(C195,'01_RS ALCARRIA'!$F$6:$R$36,13,FALSE),"")</f>
        <v/>
      </c>
      <c r="G195" s="135" t="str">
        <f>IFERROR(VLOOKUP(C195,'01_RS ALCARRIA'!$F$6:$T$36,15,FALSE),"")</f>
        <v/>
      </c>
      <c r="H195" s="138" t="e">
        <f t="shared" si="166"/>
        <v>#VALUE!</v>
      </c>
      <c r="I195" s="135" t="str">
        <f>IFERROR(VLOOKUP(C195,'02_TCT GUADAMUR'!$F$6:$R$36,13,FALSE),"")</f>
        <v/>
      </c>
      <c r="J195" s="135" t="str">
        <f>IFERROR(VLOOKUP(C195,'02_TCT GUADAMUR'!$F$6:$T$36,15,FALSE),"")</f>
        <v/>
      </c>
      <c r="K195" s="138" t="e">
        <f t="shared" si="167"/>
        <v>#VALUE!</v>
      </c>
      <c r="L195" s="135">
        <f>IFERROR(VLOOKUP(C195,'03_TCT MAQUEDA'!$F$6:$R$36,13,FALSE),"")</f>
        <v>25</v>
      </c>
      <c r="M195" s="135">
        <f>IFERROR(VLOOKUP(C195,'03_TCT MAQUEDA'!$F$6:$T$36,15,FALSE),"")</f>
        <v>10</v>
      </c>
      <c r="N195" s="138">
        <f t="shared" si="168"/>
        <v>35</v>
      </c>
      <c r="O195" s="135" t="str">
        <f>IFERROR(VLOOKUP(C195,'04_RALLYE CAM'!$F$6:$R$36,13,FALSE),"")</f>
        <v/>
      </c>
      <c r="P195" s="135" t="str">
        <f>IFERROR(VLOOKUP(C195,'04_RALLYE CAM'!$F$6:$T$36,15,FALSE),"")</f>
        <v/>
      </c>
      <c r="Q195" s="138" t="e">
        <f t="shared" ref="Q195" si="176">(O195+P195)*3</f>
        <v>#VALUE!</v>
      </c>
      <c r="R195" s="135" t="str">
        <f>IFERROR(VLOOKUP(C195,'05_RS NAVALCARNERO'!$F$6:$R$28,13,FALSE),"")</f>
        <v/>
      </c>
      <c r="S195" s="135" t="str">
        <f>IFERROR(VLOOKUP(C195,'05_RS NAVALCARNERO'!$F$6:$T$28,15,FALSE),"")</f>
        <v/>
      </c>
      <c r="T195" s="138" t="e">
        <f t="shared" ref="T195" si="177">(R195+S195)*2</f>
        <v>#VALUE!</v>
      </c>
      <c r="U195" s="135" t="str">
        <f>IFERROR(VLOOKUP(C195,'06_TCT NUEVO BAZTÁN'!$F$6:$R$28,13,FALSE),"")</f>
        <v/>
      </c>
      <c r="V195" s="135" t="str">
        <f>IFERROR(VLOOKUP(C195,'06_TCT NUEVO BAZTÁN'!$F$6:$T$28,15,FALSE),"")</f>
        <v/>
      </c>
      <c r="W195" s="138" t="e">
        <f t="shared" ref="W195" si="178">(U195+V195)</f>
        <v>#VALUE!</v>
      </c>
      <c r="X195" s="139" t="e">
        <f>H195+K195+N195+Q195+T195+W195</f>
        <v>#VALUE!</v>
      </c>
      <c r="Y195" s="240"/>
      <c r="Z195" s="127"/>
      <c r="AA195" s="148"/>
      <c r="AB195" s="262"/>
    </row>
    <row r="196" spans="2:39" ht="12.75" customHeight="1" x14ac:dyDescent="0.3">
      <c r="B196" s="152"/>
      <c r="C196" s="142" t="s">
        <v>293</v>
      </c>
      <c r="D196" s="482">
        <v>1</v>
      </c>
      <c r="E196" s="482">
        <v>4</v>
      </c>
      <c r="F196" s="135" t="str">
        <f>IFERROR(VLOOKUP(C196,'01_RS ALCARRIA'!$F$6:$R$36,13,FALSE),"")</f>
        <v/>
      </c>
      <c r="G196" s="135" t="str">
        <f>IFERROR(VLOOKUP(C196,'01_RS ALCARRIA'!$F$6:$T$36,15,FALSE),"")</f>
        <v/>
      </c>
      <c r="H196" s="138" t="e">
        <f t="shared" ref="H196:H197" si="179">(F196+G196)*2</f>
        <v>#VALUE!</v>
      </c>
      <c r="I196" s="135" t="str">
        <f>IFERROR(VLOOKUP(C196,'02_TCT GUADAMUR'!$F$6:$R$36,13,FALSE),"")</f>
        <v/>
      </c>
      <c r="J196" s="135" t="str">
        <f>IFERROR(VLOOKUP(C196,'02_TCT GUADAMUR'!$F$6:$T$36,15,FALSE),"")</f>
        <v/>
      </c>
      <c r="K196" s="138" t="e">
        <f t="shared" ref="K196:K197" si="180">(I196+J196)</f>
        <v>#VALUE!</v>
      </c>
      <c r="L196" s="135">
        <f>IFERROR(VLOOKUP(C196,'03_TCT MAQUEDA'!$F$6:$R$36,13,FALSE),"")</f>
        <v>20</v>
      </c>
      <c r="M196" s="135">
        <f>IFERROR(VLOOKUP(C196,'03_TCT MAQUEDA'!$F$6:$T$36,15,FALSE),"")</f>
        <v>8</v>
      </c>
      <c r="N196" s="138">
        <f t="shared" ref="N196:N197" si="181">(L196+M196)</f>
        <v>28</v>
      </c>
      <c r="O196" s="135" t="str">
        <f>IFERROR(VLOOKUP(C196,'04_RALLYE CAM'!$F$6:$R$36,13,FALSE),"")</f>
        <v/>
      </c>
      <c r="P196" s="135" t="str">
        <f>IFERROR(VLOOKUP(C196,'04_RALLYE CAM'!$F$6:$T$36,15,FALSE),"")</f>
        <v/>
      </c>
      <c r="Q196" s="138" t="e">
        <f t="shared" ref="Q196:Q197" si="182">(O196+P196)*3</f>
        <v>#VALUE!</v>
      </c>
      <c r="R196" s="135" t="str">
        <f>IFERROR(VLOOKUP(C196,'05_RS NAVALCARNERO'!$F$6:$R$28,13,FALSE),"")</f>
        <v/>
      </c>
      <c r="S196" s="135" t="str">
        <f>IFERROR(VLOOKUP(C196,'05_RS NAVALCARNERO'!$F$6:$T$28,15,FALSE),"")</f>
        <v/>
      </c>
      <c r="T196" s="138" t="e">
        <f t="shared" ref="T196:T197" si="183">(R196+S196)*2</f>
        <v>#VALUE!</v>
      </c>
      <c r="U196" s="135" t="str">
        <f>IFERROR(VLOOKUP(C196,'06_TCT NUEVO BAZTÁN'!$F$6:$R$28,13,FALSE),"")</f>
        <v/>
      </c>
      <c r="V196" s="135" t="str">
        <f>IFERROR(VLOOKUP(C196,'06_TCT NUEVO BAZTÁN'!$F$6:$T$28,15,FALSE),"")</f>
        <v/>
      </c>
      <c r="W196" s="138" t="e">
        <f t="shared" ref="W196:W197" si="184">(U196+V196)</f>
        <v>#VALUE!</v>
      </c>
      <c r="X196" s="139" t="e">
        <f>H196+K196+N196+Q196+T196+W196</f>
        <v>#VALUE!</v>
      </c>
      <c r="Y196" s="240"/>
      <c r="Z196" s="127"/>
      <c r="AA196" s="148"/>
      <c r="AB196" s="262"/>
    </row>
    <row r="197" spans="2:39" ht="12.75" customHeight="1" x14ac:dyDescent="0.3">
      <c r="B197" s="133"/>
      <c r="C197" s="142" t="s">
        <v>699</v>
      </c>
      <c r="D197" s="482">
        <v>5</v>
      </c>
      <c r="E197" s="482">
        <v>2</v>
      </c>
      <c r="F197" s="135" t="str">
        <f>IFERROR(VLOOKUP(C197,'01_RS ALCARRIA'!$F$6:$R$36,13,FALSE),"")</f>
        <v/>
      </c>
      <c r="G197" s="135" t="str">
        <f>IFERROR(VLOOKUP(C197,'01_RS ALCARRIA'!$F$6:$T$36,15,FALSE),"")</f>
        <v/>
      </c>
      <c r="H197" s="138" t="e">
        <f t="shared" si="179"/>
        <v>#VALUE!</v>
      </c>
      <c r="I197" s="135" t="str">
        <f>IFERROR(VLOOKUP(C197,'02_TCT GUADAMUR'!$F$6:$R$36,13,FALSE),"")</f>
        <v/>
      </c>
      <c r="J197" s="135" t="str">
        <f>IFERROR(VLOOKUP(C197,'02_TCT GUADAMUR'!$F$6:$T$36,15,FALSE),"")</f>
        <v/>
      </c>
      <c r="K197" s="138" t="e">
        <f t="shared" si="180"/>
        <v>#VALUE!</v>
      </c>
      <c r="L197" s="135">
        <f>IFERROR(VLOOKUP(C197,'03_TCT MAQUEDA'!$F$6:$R$36,13,FALSE),"")</f>
        <v>4</v>
      </c>
      <c r="M197" s="284">
        <f>IFERROR(VLOOKUP(C197,'03_TCT MAQUEDA'!$F$6:$T$36,15,FALSE),"")/2</f>
        <v>4</v>
      </c>
      <c r="N197" s="138">
        <f t="shared" si="181"/>
        <v>8</v>
      </c>
      <c r="O197" s="135" t="str">
        <f>IFERROR(VLOOKUP(C197,'04_RALLYE CAM'!$F$6:$R$36,13,FALSE),"")</f>
        <v/>
      </c>
      <c r="P197" s="135" t="str">
        <f>IFERROR(VLOOKUP(C197,'04_RALLYE CAM'!$F$6:$T$36,15,FALSE),"")</f>
        <v/>
      </c>
      <c r="Q197" s="138" t="e">
        <f t="shared" si="182"/>
        <v>#VALUE!</v>
      </c>
      <c r="R197" s="135" t="str">
        <f>IFERROR(VLOOKUP(C197,'05_RS NAVALCARNERO'!$F$6:$R$28,13,FALSE),"")</f>
        <v/>
      </c>
      <c r="S197" s="135" t="str">
        <f>IFERROR(VLOOKUP(C197,'05_RS NAVALCARNERO'!$F$6:$T$28,15,FALSE),"")</f>
        <v/>
      </c>
      <c r="T197" s="138" t="e">
        <f t="shared" si="183"/>
        <v>#VALUE!</v>
      </c>
      <c r="U197" s="135" t="str">
        <f>IFERROR(VLOOKUP(C197,'06_TCT NUEVO BAZTÁN'!$F$6:$R$28,13,FALSE),"")</f>
        <v/>
      </c>
      <c r="V197" s="135" t="str">
        <f>IFERROR(VLOOKUP(C197,'06_TCT NUEVO BAZTÁN'!$F$6:$T$28,15,FALSE),"")</f>
        <v/>
      </c>
      <c r="W197" s="138" t="e">
        <f t="shared" si="184"/>
        <v>#VALUE!</v>
      </c>
      <c r="X197" s="139" t="e">
        <f t="shared" ref="X197" si="185">H197+K197+N197+Q197+T197+W197</f>
        <v>#VALUE!</v>
      </c>
      <c r="Y197" s="240"/>
      <c r="Z197" s="127"/>
      <c r="AA197" s="148"/>
      <c r="AB197" s="262"/>
    </row>
    <row r="198" spans="2:39" ht="12.75" customHeight="1" x14ac:dyDescent="0.3">
      <c r="B198" s="152"/>
      <c r="C198" s="142" t="s">
        <v>700</v>
      </c>
      <c r="D198" s="482">
        <v>3</v>
      </c>
      <c r="E198" s="482">
        <v>2</v>
      </c>
      <c r="F198" s="135" t="str">
        <f>IFERROR(VLOOKUP(C198,'01_RS ALCARRIA'!$F$6:$R$36,13,FALSE),"")</f>
        <v/>
      </c>
      <c r="G198" s="135" t="str">
        <f>IFERROR(VLOOKUP(C198,'01_RS ALCARRIA'!$F$6:$T$36,15,FALSE),"")</f>
        <v/>
      </c>
      <c r="H198" s="138" t="e">
        <f t="shared" ref="H198" si="186">(F198+G198)*2</f>
        <v>#VALUE!</v>
      </c>
      <c r="I198" s="135" t="str">
        <f>IFERROR(VLOOKUP(C198,'02_TCT GUADAMUR'!$F$6:$R$36,13,FALSE),"")</f>
        <v/>
      </c>
      <c r="J198" s="135" t="str">
        <f>IFERROR(VLOOKUP(C198,'02_TCT GUADAMUR'!$F$6:$T$36,15,FALSE),"")</f>
        <v/>
      </c>
      <c r="K198" s="138" t="e">
        <f t="shared" ref="K198" si="187">(I198+J198)</f>
        <v>#VALUE!</v>
      </c>
      <c r="L198" s="135">
        <v>0</v>
      </c>
      <c r="M198" s="135">
        <v>0</v>
      </c>
      <c r="N198" s="138">
        <f t="shared" ref="N198" si="188">(L198+M198)</f>
        <v>0</v>
      </c>
      <c r="O198" s="135" t="str">
        <f>IFERROR(VLOOKUP(C198,'04_RALLYE CAM'!$F$6:$R$36,13,FALSE),"")</f>
        <v/>
      </c>
      <c r="P198" s="135" t="str">
        <f>IFERROR(VLOOKUP(C198,'04_RALLYE CAM'!$F$6:$T$36,15,FALSE),"")</f>
        <v/>
      </c>
      <c r="Q198" s="138" t="e">
        <f t="shared" ref="Q198" si="189">(O198+P198)*3</f>
        <v>#VALUE!</v>
      </c>
      <c r="R198" s="135" t="str">
        <f>IFERROR(VLOOKUP(C198,'05_RS NAVALCARNERO'!$F$6:$R$28,13,FALSE),"")</f>
        <v/>
      </c>
      <c r="S198" s="135" t="str">
        <f>IFERROR(VLOOKUP(C198,'05_RS NAVALCARNERO'!$F$6:$T$28,15,FALSE),"")</f>
        <v/>
      </c>
      <c r="T198" s="138" t="e">
        <f t="shared" ref="T198" si="190">(R198+S198)*2</f>
        <v>#VALUE!</v>
      </c>
      <c r="U198" s="135" t="str">
        <f>IFERROR(VLOOKUP(C198,'06_TCT NUEVO BAZTÁN'!$F$6:$R$28,13,FALSE),"")</f>
        <v/>
      </c>
      <c r="V198" s="135" t="str">
        <f>IFERROR(VLOOKUP(C198,'06_TCT NUEVO BAZTÁN'!$F$6:$T$28,15,FALSE),"")</f>
        <v/>
      </c>
      <c r="W198" s="138" t="e">
        <f t="shared" ref="W198" si="191">(U198+V198)</f>
        <v>#VALUE!</v>
      </c>
      <c r="X198" s="139" t="e">
        <f t="shared" ref="X198" si="192">H198+K198+N198+Q198+T198+W198</f>
        <v>#VALUE!</v>
      </c>
      <c r="Y198" s="240"/>
      <c r="Z198" s="127"/>
      <c r="AA198" s="148"/>
      <c r="AB198" s="262"/>
    </row>
    <row r="199" spans="2:39" ht="12.75" customHeight="1" x14ac:dyDescent="0.3">
      <c r="B199" s="152"/>
      <c r="C199" s="142" t="s">
        <v>701</v>
      </c>
      <c r="D199" s="482">
        <v>3</v>
      </c>
      <c r="E199" s="482">
        <v>2</v>
      </c>
      <c r="F199" s="135" t="str">
        <f>IFERROR(VLOOKUP(C199,'01_RS ALCARRIA'!$F$6:$R$36,13,FALSE),"")</f>
        <v/>
      </c>
      <c r="G199" s="135" t="str">
        <f>IFERROR(VLOOKUP(C199,'01_RS ALCARRIA'!$F$6:$T$36,15,FALSE),"")</f>
        <v/>
      </c>
      <c r="H199" s="138" t="e">
        <f t="shared" ref="H199" si="193">(F199+G199)*2</f>
        <v>#VALUE!</v>
      </c>
      <c r="I199" s="135" t="str">
        <f>IFERROR(VLOOKUP(C199,'02_TCT GUADAMUR'!$F$6:$R$36,13,FALSE),"")</f>
        <v/>
      </c>
      <c r="J199" s="135" t="str">
        <f>IFERROR(VLOOKUP(C199,'02_TCT GUADAMUR'!$F$6:$T$36,15,FALSE),"")</f>
        <v/>
      </c>
      <c r="K199" s="138" t="e">
        <f t="shared" ref="K199" si="194">(I199+J199)</f>
        <v>#VALUE!</v>
      </c>
      <c r="L199" s="135">
        <v>0</v>
      </c>
      <c r="M199" s="135">
        <v>0</v>
      </c>
      <c r="N199" s="138">
        <f t="shared" ref="N199" si="195">(L199+M199)</f>
        <v>0</v>
      </c>
      <c r="O199" s="135" t="str">
        <f>IFERROR(VLOOKUP(C199,'04_RALLYE CAM'!$F$6:$R$36,13,FALSE),"")</f>
        <v/>
      </c>
      <c r="P199" s="135" t="str">
        <f>IFERROR(VLOOKUP(C199,'04_RALLYE CAM'!$F$6:$T$36,15,FALSE),"")</f>
        <v/>
      </c>
      <c r="Q199" s="138" t="e">
        <f t="shared" ref="Q199" si="196">(O199+P199)*3</f>
        <v>#VALUE!</v>
      </c>
      <c r="R199" s="135" t="str">
        <f>IFERROR(VLOOKUP(C199,'05_RS NAVALCARNERO'!$F$6:$R$28,13,FALSE),"")</f>
        <v/>
      </c>
      <c r="S199" s="135" t="str">
        <f>IFERROR(VLOOKUP(C199,'05_RS NAVALCARNERO'!$F$6:$T$28,15,FALSE),"")</f>
        <v/>
      </c>
      <c r="T199" s="138" t="e">
        <f t="shared" ref="T199" si="197">(R199+S199)*2</f>
        <v>#VALUE!</v>
      </c>
      <c r="U199" s="135" t="str">
        <f>IFERROR(VLOOKUP(C199,'06_TCT NUEVO BAZTÁN'!$F$6:$R$28,13,FALSE),"")</f>
        <v/>
      </c>
      <c r="V199" s="135" t="str">
        <f>IFERROR(VLOOKUP(C199,'06_TCT NUEVO BAZTÁN'!$F$6:$T$28,15,FALSE),"")</f>
        <v/>
      </c>
      <c r="W199" s="138" t="e">
        <f t="shared" ref="W199" si="198">(U199+V199)</f>
        <v>#VALUE!</v>
      </c>
      <c r="X199" s="139" t="e">
        <f t="shared" ref="X199" si="199">H199+K199+N199+Q199+T199+W199</f>
        <v>#VALUE!</v>
      </c>
      <c r="Y199" s="240"/>
      <c r="Z199" s="127"/>
      <c r="AA199" s="148"/>
      <c r="AB199" s="262"/>
    </row>
    <row r="200" spans="2:39" ht="12.75" customHeight="1" x14ac:dyDescent="0.3">
      <c r="B200" s="152"/>
      <c r="C200" s="142" t="s">
        <v>276</v>
      </c>
      <c r="D200" s="482">
        <v>3</v>
      </c>
      <c r="E200" s="482">
        <v>2</v>
      </c>
      <c r="F200" s="135" t="str">
        <f>IFERROR(VLOOKUP(C200,'01_RS ALCARRIA'!$F$6:$R$36,13,FALSE),"")</f>
        <v/>
      </c>
      <c r="G200" s="135" t="str">
        <f>IFERROR(VLOOKUP(C200,'01_RS ALCARRIA'!$F$6:$T$36,15,FALSE),"")</f>
        <v/>
      </c>
      <c r="H200" s="138" t="e">
        <f t="shared" ref="H200" si="200">(F200+G200)*2</f>
        <v>#VALUE!</v>
      </c>
      <c r="I200" s="135" t="str">
        <f>IFERROR(VLOOKUP(C200,'02_TCT GUADAMUR'!$F$6:$R$36,13,FALSE),"")</f>
        <v/>
      </c>
      <c r="J200" s="135" t="str">
        <f>IFERROR(VLOOKUP(C200,'02_TCT GUADAMUR'!$F$6:$T$36,15,FALSE),"")</f>
        <v/>
      </c>
      <c r="K200" s="138" t="e">
        <f t="shared" ref="K200" si="201">(I200+J200)</f>
        <v>#VALUE!</v>
      </c>
      <c r="L200" s="135">
        <v>0</v>
      </c>
      <c r="M200" s="135">
        <v>0</v>
      </c>
      <c r="N200" s="138">
        <f t="shared" ref="N200" si="202">(L200+M200)</f>
        <v>0</v>
      </c>
      <c r="O200" s="135" t="str">
        <f>IFERROR(VLOOKUP(C200,'04_RALLYE CAM'!$F$6:$R$36,13,FALSE),"")</f>
        <v/>
      </c>
      <c r="P200" s="135" t="str">
        <f>IFERROR(VLOOKUP(C200,'04_RALLYE CAM'!$F$6:$T$36,15,FALSE),"")</f>
        <v/>
      </c>
      <c r="Q200" s="138" t="e">
        <f t="shared" ref="Q200" si="203">(O200+P200)*3</f>
        <v>#VALUE!</v>
      </c>
      <c r="R200" s="135">
        <f>IFERROR(VLOOKUP(C200,'05_RS NAVALCARNERO'!$F$6:$R$28,13,FALSE),"")</f>
        <v>3</v>
      </c>
      <c r="S200" s="135">
        <f>IFERROR(VLOOKUP(C200,'05_RS NAVALCARNERO'!$F$6:$T$28,15,FALSE),"")</f>
        <v>6</v>
      </c>
      <c r="T200" s="138">
        <f t="shared" ref="T200" si="204">(R200+S200)*2</f>
        <v>18</v>
      </c>
      <c r="U200" s="135">
        <f>IFERROR(VLOOKUP(C200,'06_TCT NUEVO BAZTÁN'!$F$6:$R$28,13,FALSE),"")</f>
        <v>3</v>
      </c>
      <c r="V200" s="135">
        <f>IFERROR(VLOOKUP(C200,'06_TCT NUEVO BAZTÁN'!$F$6:$T$28,15,FALSE),"")</f>
        <v>6</v>
      </c>
      <c r="W200" s="138">
        <f t="shared" ref="W200" si="205">(U200+V200)</f>
        <v>9</v>
      </c>
      <c r="X200" s="139" t="e">
        <f t="shared" ref="X200" si="206">H200+K200+N200+Q200+T200+W200</f>
        <v>#VALUE!</v>
      </c>
      <c r="Y200" s="240"/>
      <c r="Z200" s="127"/>
      <c r="AA200" s="148"/>
      <c r="AB200" s="262"/>
    </row>
    <row r="201" spans="2:39" ht="12.75" customHeight="1" x14ac:dyDescent="0.3">
      <c r="B201" s="152"/>
      <c r="C201" s="142" t="s">
        <v>703</v>
      </c>
      <c r="D201" s="482">
        <v>2</v>
      </c>
      <c r="E201" s="482">
        <v>2</v>
      </c>
      <c r="F201" s="135" t="str">
        <f>IFERROR(VLOOKUP(C201,'01_RS ALCARRIA'!$F$6:$R$36,13,FALSE),"")</f>
        <v/>
      </c>
      <c r="G201" s="135" t="str">
        <f>IFERROR(VLOOKUP(C201,'01_RS ALCARRIA'!$F$6:$T$36,15,FALSE),"")</f>
        <v/>
      </c>
      <c r="H201" s="138" t="e">
        <f t="shared" ref="H201" si="207">(F201+G201)*2</f>
        <v>#VALUE!</v>
      </c>
      <c r="I201" s="135" t="str">
        <f>IFERROR(VLOOKUP(C201,'02_TCT GUADAMUR'!$F$6:$R$36,13,FALSE),"")</f>
        <v/>
      </c>
      <c r="J201" s="135" t="str">
        <f>IFERROR(VLOOKUP(C201,'02_TCT GUADAMUR'!$F$6:$T$36,15,FALSE),"")</f>
        <v/>
      </c>
      <c r="K201" s="138" t="e">
        <f t="shared" ref="K201" si="208">(I201+J201)</f>
        <v>#VALUE!</v>
      </c>
      <c r="L201" s="135">
        <v>0</v>
      </c>
      <c r="M201" s="135">
        <v>0</v>
      </c>
      <c r="N201" s="138">
        <f t="shared" ref="N201" si="209">(L201+M201)</f>
        <v>0</v>
      </c>
      <c r="O201" s="135" t="str">
        <f>IFERROR(VLOOKUP(C201,'04_RALLYE CAM'!$F$6:$R$36,13,FALSE),"")</f>
        <v/>
      </c>
      <c r="P201" s="135" t="str">
        <f>IFERROR(VLOOKUP(C201,'04_RALLYE CAM'!$F$6:$T$36,15,FALSE),"")</f>
        <v/>
      </c>
      <c r="Q201" s="138" t="e">
        <f t="shared" ref="Q201" si="210">(O201+P201)*3</f>
        <v>#VALUE!</v>
      </c>
      <c r="R201" s="135" t="str">
        <f>IFERROR(VLOOKUP(C201,'05_RS NAVALCARNERO'!$F$6:$R$28,13,FALSE),"")</f>
        <v/>
      </c>
      <c r="S201" s="135" t="str">
        <f>IFERROR(VLOOKUP(C201,'05_RS NAVALCARNERO'!$F$6:$T$28,15,FALSE),"")</f>
        <v/>
      </c>
      <c r="T201" s="138" t="e">
        <f t="shared" ref="T201" si="211">(R201+S201)*2</f>
        <v>#VALUE!</v>
      </c>
      <c r="U201" s="135" t="str">
        <f>IFERROR(VLOOKUP(C201,'06_TCT NUEVO BAZTÁN'!$F$6:$R$28,13,FALSE),"")</f>
        <v/>
      </c>
      <c r="V201" s="135" t="str">
        <f>IFERROR(VLOOKUP(C201,'06_TCT NUEVO BAZTÁN'!$F$6:$T$28,15,FALSE),"")</f>
        <v/>
      </c>
      <c r="W201" s="138" t="e">
        <f t="shared" ref="W201" si="212">(U201+V201)</f>
        <v>#VALUE!</v>
      </c>
      <c r="X201" s="139" t="e">
        <f t="shared" ref="X201" si="213">H201+K201+N201+Q201+T201+W201</f>
        <v>#VALUE!</v>
      </c>
      <c r="Y201" s="240"/>
      <c r="Z201" s="127"/>
      <c r="AA201" s="148"/>
      <c r="AB201" s="262"/>
    </row>
    <row r="202" spans="2:39" ht="12.75" customHeight="1" x14ac:dyDescent="0.3">
      <c r="B202" s="152"/>
      <c r="C202" s="142" t="s">
        <v>458</v>
      </c>
      <c r="D202" s="482">
        <v>4</v>
      </c>
      <c r="E202" s="482">
        <v>2</v>
      </c>
      <c r="F202" s="135" t="str">
        <f>IFERROR(VLOOKUP(C202,'01_RS ALCARRIA'!$F$6:$R$36,13,FALSE),"")</f>
        <v/>
      </c>
      <c r="G202" s="135" t="str">
        <f>IFERROR(VLOOKUP(C202,'01_RS ALCARRIA'!$F$6:$T$36,15,FALSE),"")</f>
        <v/>
      </c>
      <c r="H202" s="138" t="e">
        <f t="shared" ref="H202" si="214">(F202+G202)*2</f>
        <v>#VALUE!</v>
      </c>
      <c r="I202" s="135" t="str">
        <f>IFERROR(VLOOKUP(C202,'02_TCT GUADAMUR'!$F$6:$R$36,13,FALSE),"")</f>
        <v/>
      </c>
      <c r="J202" s="135" t="str">
        <f>IFERROR(VLOOKUP(C202,'02_TCT GUADAMUR'!$F$6:$T$36,15,FALSE),"")</f>
        <v/>
      </c>
      <c r="K202" s="138" t="e">
        <f t="shared" ref="K202" si="215">(I202+J202)</f>
        <v>#VALUE!</v>
      </c>
      <c r="L202" s="135">
        <v>0</v>
      </c>
      <c r="M202" s="135">
        <v>0</v>
      </c>
      <c r="N202" s="138">
        <f t="shared" ref="N202" si="216">(L202+M202)</f>
        <v>0</v>
      </c>
      <c r="O202" s="135" t="str">
        <f>IFERROR(VLOOKUP(C202,'04_RALLYE CAM'!$F$6:$R$36,13,FALSE),"")</f>
        <v/>
      </c>
      <c r="P202" s="135" t="str">
        <f>IFERROR(VLOOKUP(C202,'04_RALLYE CAM'!$F$6:$T$36,15,FALSE),"")</f>
        <v/>
      </c>
      <c r="Q202" s="138" t="e">
        <f t="shared" ref="Q202" si="217">(O202+P202)*3</f>
        <v>#VALUE!</v>
      </c>
      <c r="R202" s="135" t="str">
        <f>IFERROR(VLOOKUP(C202,'05_RS NAVALCARNERO'!$F$6:$R$28,13,FALSE),"")</f>
        <v/>
      </c>
      <c r="S202" s="135" t="str">
        <f>IFERROR(VLOOKUP(C202,'05_RS NAVALCARNERO'!$F$6:$T$28,15,FALSE),"")</f>
        <v/>
      </c>
      <c r="T202" s="138" t="e">
        <f t="shared" ref="T202" si="218">(R202+S202)*2</f>
        <v>#VALUE!</v>
      </c>
      <c r="U202" s="135" t="str">
        <f>IFERROR(VLOOKUP(C202,'06_TCT NUEVO BAZTÁN'!$F$6:$R$28,13,FALSE),"")</f>
        <v/>
      </c>
      <c r="V202" s="135" t="str">
        <f>IFERROR(VLOOKUP(C202,'06_TCT NUEVO BAZTÁN'!$F$6:$T$28,15,FALSE),"")</f>
        <v/>
      </c>
      <c r="W202" s="138" t="e">
        <f t="shared" ref="W202" si="219">(U202+V202)</f>
        <v>#VALUE!</v>
      </c>
      <c r="X202" s="139" t="e">
        <f t="shared" ref="X202" si="220">H202+K202+N202+Q202+T202+W202</f>
        <v>#VALUE!</v>
      </c>
      <c r="Y202" s="240"/>
      <c r="Z202" s="127"/>
      <c r="AA202" s="148"/>
      <c r="AB202" s="262"/>
    </row>
    <row r="203" spans="2:39" ht="12" x14ac:dyDescent="0.3">
      <c r="B203" s="155"/>
      <c r="C203" s="236"/>
      <c r="D203" s="155"/>
      <c r="E203" s="155"/>
      <c r="F203" s="147"/>
      <c r="G203" s="147"/>
      <c r="H203" s="147"/>
      <c r="I203" s="147"/>
      <c r="J203" s="147"/>
      <c r="K203" s="147"/>
      <c r="L203" s="147"/>
      <c r="M203" s="147"/>
      <c r="N203" s="147"/>
      <c r="O203" s="147"/>
      <c r="P203" s="147"/>
      <c r="Q203" s="147"/>
      <c r="R203" s="147"/>
      <c r="S203" s="147"/>
      <c r="T203" s="147"/>
      <c r="U203" s="147"/>
      <c r="V203" s="147"/>
      <c r="W203" s="147"/>
      <c r="X203" s="147"/>
      <c r="Y203" s="147"/>
      <c r="Z203" s="7"/>
      <c r="AA203" s="7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</row>
    <row r="204" spans="2:39" ht="12" x14ac:dyDescent="0.3">
      <c r="B204" s="155"/>
      <c r="C204" s="235" t="s">
        <v>5</v>
      </c>
      <c r="D204" s="228" t="s">
        <v>6</v>
      </c>
      <c r="E204" s="155"/>
      <c r="F204" s="147"/>
      <c r="G204" s="147"/>
      <c r="H204" s="147"/>
      <c r="I204" s="147"/>
      <c r="J204" s="147"/>
      <c r="K204" s="147"/>
      <c r="L204" s="147"/>
      <c r="M204" s="147"/>
      <c r="N204" s="147"/>
      <c r="O204" s="147"/>
      <c r="P204" s="147"/>
      <c r="Q204" s="147"/>
      <c r="R204" s="147"/>
      <c r="S204" s="147"/>
      <c r="T204" s="147"/>
      <c r="U204" s="147"/>
      <c r="V204" s="147"/>
      <c r="W204" s="147"/>
      <c r="X204" s="147"/>
      <c r="Y204" s="147"/>
      <c r="Z204" s="7"/>
      <c r="AA204" s="7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</row>
    <row r="205" spans="2:39" ht="3.65" customHeight="1" thickBot="1" x14ac:dyDescent="0.35">
      <c r="B205" s="155"/>
      <c r="C205" s="235"/>
      <c r="D205" s="146"/>
      <c r="E205" s="155"/>
      <c r="F205" s="147"/>
      <c r="G205" s="147"/>
      <c r="H205" s="147"/>
      <c r="I205" s="147"/>
      <c r="J205" s="147"/>
      <c r="K205" s="147"/>
      <c r="L205" s="147"/>
      <c r="M205" s="147"/>
      <c r="N205" s="147"/>
      <c r="O205" s="147"/>
      <c r="P205" s="147"/>
      <c r="Q205" s="147"/>
      <c r="R205" s="147"/>
      <c r="S205" s="147"/>
      <c r="T205" s="147"/>
      <c r="U205" s="147"/>
      <c r="V205" s="147"/>
      <c r="W205" s="147"/>
      <c r="X205" s="147"/>
      <c r="Y205" s="147"/>
      <c r="Z205" s="7"/>
      <c r="AA205" s="7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</row>
    <row r="206" spans="2:39" ht="12.5" thickBot="1" x14ac:dyDescent="0.35">
      <c r="B206" s="155"/>
      <c r="C206" s="235" t="s">
        <v>7</v>
      </c>
      <c r="D206" s="233">
        <v>2</v>
      </c>
      <c r="E206" s="155"/>
      <c r="F206" s="147"/>
      <c r="G206" s="147"/>
      <c r="H206" s="147"/>
      <c r="I206" s="147"/>
      <c r="J206" s="147"/>
      <c r="K206" s="147"/>
      <c r="L206" s="147"/>
      <c r="M206" s="147"/>
      <c r="N206" s="147"/>
      <c r="O206" s="147"/>
      <c r="P206" s="147"/>
      <c r="Q206" s="147"/>
      <c r="R206" s="147"/>
      <c r="S206" s="147"/>
      <c r="T206" s="147"/>
      <c r="U206" s="147"/>
      <c r="V206" s="147"/>
      <c r="W206" s="147"/>
      <c r="X206" s="147"/>
      <c r="Y206" s="147"/>
      <c r="Z206" s="7"/>
      <c r="AA206" s="7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</row>
    <row r="207" spans="2:39" ht="3.65" customHeight="1" x14ac:dyDescent="0.3">
      <c r="B207" s="155"/>
      <c r="C207" s="236"/>
      <c r="D207" s="155"/>
      <c r="E207" s="155"/>
      <c r="F207" s="147"/>
      <c r="G207" s="147"/>
      <c r="H207" s="147"/>
      <c r="I207" s="147"/>
      <c r="J207" s="147"/>
      <c r="K207" s="147"/>
      <c r="L207" s="147"/>
      <c r="M207" s="147"/>
      <c r="N207" s="147"/>
      <c r="O207" s="147"/>
      <c r="P207" s="147"/>
      <c r="Q207" s="147"/>
      <c r="R207" s="147"/>
      <c r="S207" s="147"/>
      <c r="T207" s="147"/>
      <c r="U207" s="147"/>
      <c r="V207" s="147"/>
      <c r="W207" s="147"/>
      <c r="X207" s="147"/>
      <c r="Y207" s="147"/>
      <c r="Z207" s="7"/>
      <c r="AA207" s="7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</row>
    <row r="208" spans="2:39" ht="12" x14ac:dyDescent="0.3">
      <c r="B208" s="155"/>
      <c r="C208" s="235"/>
      <c r="D208" s="284"/>
      <c r="E208" s="285" t="s">
        <v>534</v>
      </c>
      <c r="F208" s="147"/>
      <c r="G208" s="147"/>
      <c r="H208" s="147"/>
      <c r="I208" s="147"/>
      <c r="J208" s="147"/>
      <c r="K208" s="147"/>
      <c r="L208" s="147"/>
      <c r="M208" s="147"/>
      <c r="N208" s="147"/>
      <c r="O208" s="147"/>
      <c r="P208" s="147"/>
      <c r="Q208" s="147"/>
      <c r="R208" s="147"/>
      <c r="S208" s="147"/>
      <c r="T208" s="147"/>
      <c r="U208" s="147"/>
      <c r="V208" s="147"/>
      <c r="W208" s="147"/>
      <c r="X208" s="147"/>
      <c r="Y208" s="147"/>
      <c r="Z208" s="7"/>
      <c r="AA208" s="7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</row>
    <row r="209" spans="2:39" ht="3" customHeight="1" x14ac:dyDescent="0.3">
      <c r="B209" s="155"/>
      <c r="C209" s="235"/>
      <c r="D209" s="239"/>
      <c r="E209" s="120"/>
      <c r="F209" s="147"/>
      <c r="G209" s="147"/>
      <c r="H209" s="147"/>
      <c r="I209" s="147"/>
      <c r="J209" s="147"/>
      <c r="K209" s="147"/>
      <c r="L209" s="147"/>
      <c r="M209" s="147"/>
      <c r="N209" s="147"/>
      <c r="O209" s="147"/>
      <c r="P209" s="147"/>
      <c r="Q209" s="147"/>
      <c r="R209" s="147"/>
      <c r="S209" s="147"/>
      <c r="T209" s="147"/>
      <c r="U209" s="147"/>
      <c r="V209" s="147"/>
      <c r="W209" s="147"/>
      <c r="X209" s="147"/>
      <c r="Y209" s="147"/>
      <c r="Z209" s="7"/>
      <c r="AA209" s="7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</row>
    <row r="210" spans="2:39" ht="12" x14ac:dyDescent="0.3">
      <c r="B210" s="155"/>
      <c r="C210" s="236" t="s">
        <v>659</v>
      </c>
      <c r="D210" s="237" t="s">
        <v>273</v>
      </c>
      <c r="E210" s="238"/>
      <c r="F210" s="147"/>
      <c r="G210" s="147"/>
      <c r="H210" s="147"/>
      <c r="I210" s="147"/>
      <c r="J210" s="147"/>
      <c r="K210" s="147"/>
      <c r="L210" s="147"/>
      <c r="M210" s="147"/>
      <c r="N210" s="147"/>
      <c r="O210" s="147"/>
      <c r="P210" s="147"/>
      <c r="Q210" s="147"/>
      <c r="R210" s="147"/>
      <c r="S210" s="147"/>
      <c r="T210" s="147"/>
      <c r="U210" s="147"/>
      <c r="V210" s="147"/>
      <c r="W210" s="147"/>
      <c r="X210" s="147"/>
      <c r="Y210" s="147"/>
      <c r="Z210" s="7"/>
      <c r="AA210" s="7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</row>
    <row r="211" spans="2:39" ht="12" x14ac:dyDescent="0.3">
      <c r="B211" s="155"/>
      <c r="C211" s="236"/>
      <c r="D211" s="155"/>
      <c r="E211" s="155"/>
      <c r="F211" s="147"/>
      <c r="G211" s="147"/>
      <c r="H211" s="147"/>
      <c r="I211" s="147"/>
      <c r="J211" s="147"/>
      <c r="K211" s="147"/>
      <c r="L211" s="147"/>
      <c r="M211" s="147"/>
      <c r="N211" s="147"/>
      <c r="O211" s="147"/>
      <c r="P211" s="147"/>
      <c r="Q211" s="147"/>
      <c r="R211" s="147"/>
      <c r="S211" s="147"/>
      <c r="T211" s="147"/>
      <c r="U211" s="147"/>
      <c r="V211" s="147"/>
      <c r="W211" s="147"/>
      <c r="X211" s="147"/>
      <c r="Y211" s="147"/>
      <c r="Z211" s="7"/>
      <c r="AA211" s="7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</row>
    <row r="212" spans="2:39" ht="12" x14ac:dyDescent="0.3">
      <c r="B212" s="155"/>
      <c r="C212" s="236"/>
      <c r="D212" s="155"/>
      <c r="E212" s="155"/>
      <c r="F212" s="147"/>
      <c r="G212" s="147"/>
      <c r="H212" s="147"/>
      <c r="I212" s="147"/>
      <c r="J212" s="147"/>
      <c r="K212" s="147"/>
      <c r="L212" s="147"/>
      <c r="M212" s="147"/>
      <c r="N212" s="147"/>
      <c r="O212" s="147"/>
      <c r="P212" s="147"/>
      <c r="Q212" s="147"/>
      <c r="R212" s="147"/>
      <c r="S212" s="147"/>
      <c r="T212" s="147"/>
      <c r="U212" s="147"/>
      <c r="V212" s="147"/>
      <c r="W212" s="147"/>
      <c r="X212" s="147"/>
      <c r="Y212" s="147"/>
      <c r="Z212" s="7"/>
      <c r="AA212" s="7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</row>
    <row r="213" spans="2:39" ht="12" x14ac:dyDescent="0.3">
      <c r="B213" s="155"/>
      <c r="C213" s="236"/>
      <c r="D213" s="155"/>
      <c r="E213" s="155"/>
      <c r="F213" s="147"/>
      <c r="G213" s="147"/>
      <c r="H213" s="147"/>
      <c r="I213" s="147"/>
      <c r="J213" s="147"/>
      <c r="K213" s="147"/>
      <c r="L213" s="147"/>
      <c r="M213" s="147"/>
      <c r="N213" s="147"/>
      <c r="O213" s="147"/>
      <c r="P213" s="147"/>
      <c r="Q213" s="147"/>
      <c r="R213" s="147"/>
      <c r="S213" s="147"/>
      <c r="T213" s="147"/>
      <c r="U213" s="147"/>
      <c r="V213" s="147"/>
      <c r="W213" s="147"/>
      <c r="X213" s="147"/>
      <c r="Y213" s="147"/>
      <c r="Z213" s="7"/>
      <c r="AA213" s="7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</row>
    <row r="214" spans="2:39" ht="12" x14ac:dyDescent="0.3">
      <c r="B214" s="155"/>
      <c r="C214" s="236"/>
      <c r="D214" s="155"/>
      <c r="E214" s="155"/>
      <c r="F214" s="147"/>
      <c r="G214" s="147"/>
      <c r="H214" s="147"/>
      <c r="I214" s="147"/>
      <c r="J214" s="147"/>
      <c r="K214" s="147"/>
      <c r="L214" s="147"/>
      <c r="M214" s="147"/>
      <c r="N214" s="147"/>
      <c r="O214" s="147"/>
      <c r="P214" s="147"/>
      <c r="Q214" s="147"/>
      <c r="R214" s="147"/>
      <c r="S214" s="147"/>
      <c r="T214" s="147"/>
      <c r="U214" s="147"/>
      <c r="V214" s="147"/>
      <c r="W214" s="147"/>
      <c r="X214" s="147"/>
      <c r="Y214" s="147"/>
      <c r="Z214" s="7"/>
      <c r="AA214" s="7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</row>
    <row r="215" spans="2:39" ht="37.5" customHeight="1" x14ac:dyDescent="0.55000000000000004">
      <c r="B215" s="527" t="s">
        <v>553</v>
      </c>
      <c r="C215" s="527"/>
      <c r="D215" s="527"/>
      <c r="E215" s="527"/>
      <c r="F215" s="527"/>
      <c r="G215" s="527"/>
      <c r="H215" s="527"/>
      <c r="I215" s="527"/>
      <c r="J215" s="527"/>
      <c r="K215" s="527"/>
      <c r="L215" s="527"/>
      <c r="M215" s="527"/>
      <c r="N215" s="527"/>
      <c r="O215" s="527"/>
      <c r="P215" s="527"/>
      <c r="Q215" s="527"/>
      <c r="R215" s="527"/>
      <c r="S215" s="527"/>
      <c r="T215" s="527"/>
      <c r="U215" s="527"/>
      <c r="V215" s="527"/>
      <c r="W215" s="527"/>
      <c r="X215" s="461"/>
      <c r="Y215" s="147"/>
      <c r="Z215" s="7"/>
      <c r="AA215" s="7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</row>
    <row r="216" spans="2:39" ht="33" customHeight="1" x14ac:dyDescent="0.3">
      <c r="B216" s="531" t="s">
        <v>224</v>
      </c>
      <c r="C216" s="531"/>
      <c r="D216" s="531"/>
      <c r="E216" s="531"/>
      <c r="F216" s="531"/>
      <c r="G216" s="531"/>
      <c r="H216" s="531"/>
      <c r="I216" s="531"/>
      <c r="J216" s="531"/>
      <c r="K216" s="531"/>
      <c r="L216" s="531"/>
      <c r="M216" s="531"/>
      <c r="N216" s="531"/>
      <c r="O216" s="531"/>
      <c r="P216" s="531"/>
      <c r="Q216" s="531"/>
      <c r="R216" s="531"/>
      <c r="S216" s="531"/>
      <c r="T216" s="531"/>
      <c r="U216" s="531"/>
      <c r="V216" s="531"/>
      <c r="W216" s="531"/>
      <c r="X216" s="167"/>
      <c r="Y216" s="147"/>
      <c r="Z216" s="7"/>
      <c r="AA216" s="7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</row>
    <row r="217" spans="2:39" ht="15.5" x14ac:dyDescent="0.3">
      <c r="B217" s="162"/>
      <c r="C217" s="168"/>
      <c r="D217" s="161"/>
      <c r="E217" s="161"/>
      <c r="F217" s="222" t="s">
        <v>220</v>
      </c>
      <c r="G217" s="223"/>
      <c r="H217" s="224"/>
      <c r="I217" s="222" t="s">
        <v>663</v>
      </c>
      <c r="J217" s="225"/>
      <c r="K217" s="226"/>
      <c r="L217" s="222" t="s">
        <v>532</v>
      </c>
      <c r="M217" s="225"/>
      <c r="N217" s="226"/>
      <c r="O217" s="222" t="s">
        <v>526</v>
      </c>
      <c r="P217" s="225"/>
      <c r="Q217" s="226"/>
      <c r="R217" s="222" t="s">
        <v>287</v>
      </c>
      <c r="S217" s="225"/>
      <c r="T217" s="226"/>
      <c r="U217" s="413" t="s">
        <v>527</v>
      </c>
      <c r="V217" s="226"/>
      <c r="W217" s="226"/>
      <c r="X217" s="161" t="s">
        <v>213</v>
      </c>
      <c r="Y217" s="147"/>
      <c r="Z217" s="7"/>
      <c r="AA217" s="7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</row>
    <row r="218" spans="2:39" ht="15.5" x14ac:dyDescent="0.3">
      <c r="B218" s="159" t="s">
        <v>0</v>
      </c>
      <c r="C218" s="170" t="s">
        <v>1</v>
      </c>
      <c r="D218" s="160" t="s">
        <v>2</v>
      </c>
      <c r="E218" s="160" t="s">
        <v>3</v>
      </c>
      <c r="F218" s="217" t="s">
        <v>523</v>
      </c>
      <c r="G218" s="218"/>
      <c r="H218" s="219"/>
      <c r="I218" s="217" t="s">
        <v>525</v>
      </c>
      <c r="J218" s="220"/>
      <c r="K218" s="221"/>
      <c r="L218" s="217" t="s">
        <v>664</v>
      </c>
      <c r="M218" s="220"/>
      <c r="N218" s="221"/>
      <c r="O218" s="217" t="s">
        <v>529</v>
      </c>
      <c r="P218" s="220"/>
      <c r="Q218" s="221"/>
      <c r="R218" s="217" t="s">
        <v>530</v>
      </c>
      <c r="S218" s="220"/>
      <c r="T218" s="221"/>
      <c r="U218" s="414" t="s">
        <v>528</v>
      </c>
      <c r="V218" s="255"/>
      <c r="W218" s="415"/>
      <c r="X218" s="160" t="s">
        <v>9</v>
      </c>
      <c r="Y218" s="147"/>
      <c r="Z218" s="7"/>
      <c r="AA218" s="7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</row>
    <row r="219" spans="2:39" ht="13" x14ac:dyDescent="0.3">
      <c r="B219" s="163"/>
      <c r="C219" s="169"/>
      <c r="D219" s="157"/>
      <c r="E219" s="157"/>
      <c r="F219" s="131" t="s">
        <v>33</v>
      </c>
      <c r="G219" s="131" t="s">
        <v>34</v>
      </c>
      <c r="H219" s="132" t="s">
        <v>35</v>
      </c>
      <c r="I219" s="131" t="s">
        <v>33</v>
      </c>
      <c r="J219" s="131" t="s">
        <v>34</v>
      </c>
      <c r="K219" s="132" t="s">
        <v>35</v>
      </c>
      <c r="L219" s="131" t="s">
        <v>33</v>
      </c>
      <c r="M219" s="131" t="s">
        <v>34</v>
      </c>
      <c r="N219" s="132" t="s">
        <v>35</v>
      </c>
      <c r="O219" s="131" t="s">
        <v>33</v>
      </c>
      <c r="P219" s="131" t="s">
        <v>34</v>
      </c>
      <c r="Q219" s="132" t="s">
        <v>35</v>
      </c>
      <c r="R219" s="131" t="s">
        <v>33</v>
      </c>
      <c r="S219" s="131" t="s">
        <v>34</v>
      </c>
      <c r="T219" s="132" t="s">
        <v>35</v>
      </c>
      <c r="U219" s="131" t="s">
        <v>33</v>
      </c>
      <c r="V219" s="131" t="s">
        <v>34</v>
      </c>
      <c r="W219" s="132" t="s">
        <v>35</v>
      </c>
      <c r="X219" s="157"/>
      <c r="Y219" s="147"/>
      <c r="Z219" s="7"/>
      <c r="AA219" s="7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</row>
    <row r="220" spans="2:39" ht="13" x14ac:dyDescent="0.3">
      <c r="B220" s="133">
        <v>1</v>
      </c>
      <c r="C220" s="487" t="s">
        <v>597</v>
      </c>
      <c r="D220" s="227">
        <v>5</v>
      </c>
      <c r="E220" s="137"/>
      <c r="F220" s="135">
        <f>IFERROR(VLOOKUP(C220,'01_RS ALCARRIA'!$D$6:$M$36,10,FALSE),"")</f>
        <v>4</v>
      </c>
      <c r="G220" s="135">
        <f>IFERROR(VLOOKUP(C220,'01_RS ALCARRIA'!$D$6:$O$36,12,FALSE),"")</f>
        <v>10</v>
      </c>
      <c r="H220" s="138">
        <f t="shared" ref="H220" si="221">(F220+G220)*2</f>
        <v>28</v>
      </c>
      <c r="I220" s="135">
        <f>IFERROR(VLOOKUP(C220,'02_TCT GUADAMUR'!$D$6:$M$36,10,FALSE),"")</f>
        <v>8</v>
      </c>
      <c r="J220" s="135">
        <f>IFERROR(VLOOKUP(C220,'02_TCT GUADAMUR'!$D$6:$O$36,12,FALSE),"")</f>
        <v>10</v>
      </c>
      <c r="K220" s="138">
        <f t="shared" ref="K220" si="222">(I220+J220)</f>
        <v>18</v>
      </c>
      <c r="L220" s="135" t="str">
        <f>IFERROR(VLOOKUP(C220,'03_TCT MAQUEDA'!$D$6:$M$36,10,FALSE),"")</f>
        <v/>
      </c>
      <c r="M220" s="135" t="str">
        <f>IFERROR(VLOOKUP(C220,'03_TCT MAQUEDA'!$D$6:$O$36,12,FALSE),"")</f>
        <v/>
      </c>
      <c r="N220" s="138" t="e">
        <f t="shared" ref="N220" si="223">(L220+M220)</f>
        <v>#VALUE!</v>
      </c>
      <c r="O220" s="135" t="str">
        <f>IFERROR(VLOOKUP(C220,'04_RALLYE CAM'!$D$6:$M$36,10,FALSE),"")</f>
        <v/>
      </c>
      <c r="P220" s="135" t="str">
        <f>IFERROR(VLOOKUP(C220,'04_RALLYE CAM'!$D$6:$O$36,12,FALSE),"")</f>
        <v/>
      </c>
      <c r="Q220" s="138" t="e">
        <f t="shared" ref="Q220" si="224">(O220+P220)*3</f>
        <v>#VALUE!</v>
      </c>
      <c r="R220" s="135" t="str">
        <f>IFERROR(VLOOKUP(C220,'05_RS NAVALCARNERO'!$D$6:$M$28,10,FALSE),"")</f>
        <v/>
      </c>
      <c r="S220" s="135" t="str">
        <f>IFERROR(VLOOKUP(C220,'05_RS NAVALCARNERO'!$D$6:$O$28,12,FALSE),"")</f>
        <v/>
      </c>
      <c r="T220" s="138" t="e">
        <f t="shared" ref="T220" si="225">(R220+S220)*2</f>
        <v>#VALUE!</v>
      </c>
      <c r="U220" s="135" t="str">
        <f>IFERROR(VLOOKUP(C220,'06_TCT NUEVO BAZTÁN'!$D$6:$M$28,10,FALSE),"")</f>
        <v/>
      </c>
      <c r="V220" s="135" t="str">
        <f>IFERROR(VLOOKUP(C220,'06_TCT NUEVO BAZTÁN'!$D$6:$O$28,12,FALSE),"")</f>
        <v/>
      </c>
      <c r="W220" s="138" t="e">
        <f t="shared" ref="W220" si="226">(U220+V220)</f>
        <v>#VALUE!</v>
      </c>
      <c r="X220" s="139" t="e">
        <f>H220+K220+N220+Q220+T220+W220</f>
        <v>#VALUE!</v>
      </c>
      <c r="Y220" s="147"/>
      <c r="Z220" s="7"/>
      <c r="AA220" s="7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</row>
    <row r="221" spans="2:39" ht="13" x14ac:dyDescent="0.3">
      <c r="B221" s="133">
        <v>2</v>
      </c>
      <c r="C221" s="487" t="s">
        <v>626</v>
      </c>
      <c r="D221" s="227">
        <v>5</v>
      </c>
      <c r="E221" s="137"/>
      <c r="F221" s="135" t="str">
        <f>IFERROR(VLOOKUP(C221,'01_RS ALCARRIA'!$D$6:$M$36,10,FALSE),"")</f>
        <v/>
      </c>
      <c r="G221" s="135" t="str">
        <f>IFERROR(VLOOKUP(C221,'01_RS ALCARRIA'!$D$6:$O$36,12,FALSE),"")</f>
        <v/>
      </c>
      <c r="H221" s="138" t="e">
        <f t="shared" ref="H221:H222" si="227">(F221+G221)*2</f>
        <v>#VALUE!</v>
      </c>
      <c r="I221" s="135">
        <f>IFERROR(VLOOKUP(C221,'02_TCT GUADAMUR'!$D$6:$M$36,10,FALSE),"")</f>
        <v>4</v>
      </c>
      <c r="J221" s="135">
        <f>IFERROR(VLOOKUP(C221,'02_TCT GUADAMUR'!$D$6:$O$36,12,FALSE),"")</f>
        <v>8</v>
      </c>
      <c r="K221" s="138">
        <f t="shared" ref="K221:K222" si="228">(I221+J221)</f>
        <v>12</v>
      </c>
      <c r="L221" s="135" t="str">
        <f>IFERROR(VLOOKUP(C221,'03_TCT MAQUEDA'!$D$6:$M$36,10,FALSE),"")</f>
        <v/>
      </c>
      <c r="M221" s="135" t="str">
        <f>IFERROR(VLOOKUP(C221,'03_TCT MAQUEDA'!$D$6:$O$36,12,FALSE),"")</f>
        <v/>
      </c>
      <c r="N221" s="138" t="e">
        <f t="shared" ref="N221:N222" si="229">(L221+M221)</f>
        <v>#VALUE!</v>
      </c>
      <c r="O221" s="135" t="str">
        <f>IFERROR(VLOOKUP(C221,'04_RALLYE CAM'!$D$6:$M$36,10,FALSE),"")</f>
        <v/>
      </c>
      <c r="P221" s="135" t="str">
        <f>IFERROR(VLOOKUP(C221,'04_RALLYE CAM'!$D$6:$O$36,12,FALSE),"")</f>
        <v/>
      </c>
      <c r="Q221" s="138" t="e">
        <f t="shared" ref="Q221:Q222" si="230">(O221+P221)*3</f>
        <v>#VALUE!</v>
      </c>
      <c r="R221" s="135" t="str">
        <f>IFERROR(VLOOKUP(C221,'05_RS NAVALCARNERO'!$D$6:$M$28,10,FALSE),"")</f>
        <v/>
      </c>
      <c r="S221" s="135" t="str">
        <f>IFERROR(VLOOKUP(C221,'05_RS NAVALCARNERO'!$D$6:$O$28,12,FALSE),"")</f>
        <v/>
      </c>
      <c r="T221" s="138" t="e">
        <f t="shared" ref="T221:T222" si="231">(R221+S221)*2</f>
        <v>#VALUE!</v>
      </c>
      <c r="U221" s="135" t="str">
        <f>IFERROR(VLOOKUP(C221,'06_TCT NUEVO BAZTÁN'!$D$6:$M$28,10,FALSE),"")</f>
        <v/>
      </c>
      <c r="V221" s="135" t="str">
        <f>IFERROR(VLOOKUP(C221,'06_TCT NUEVO BAZTÁN'!$D$6:$O$28,12,FALSE),"")</f>
        <v/>
      </c>
      <c r="W221" s="138" t="e">
        <f t="shared" ref="W221:W222" si="232">(U221+V221)</f>
        <v>#VALUE!</v>
      </c>
      <c r="X221" s="139" t="e">
        <f>H221+K221+N221+Q221+T221+W221</f>
        <v>#VALUE!</v>
      </c>
      <c r="Y221" s="147"/>
      <c r="Z221" s="7"/>
      <c r="AA221" s="7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</row>
    <row r="222" spans="2:39" ht="13" x14ac:dyDescent="0.3">
      <c r="B222" s="133">
        <v>3</v>
      </c>
      <c r="C222" s="487" t="s">
        <v>408</v>
      </c>
      <c r="D222" s="227">
        <v>5</v>
      </c>
      <c r="E222" s="137"/>
      <c r="F222" s="135" t="str">
        <f>IFERROR(VLOOKUP(C222,'01_RS ALCARRIA'!$D$6:$M$36,10,FALSE),"")</f>
        <v/>
      </c>
      <c r="G222" s="135" t="str">
        <f>IFERROR(VLOOKUP(C222,'01_RS ALCARRIA'!$D$6:$O$36,12,FALSE),"")</f>
        <v/>
      </c>
      <c r="H222" s="138" t="e">
        <f t="shared" si="227"/>
        <v>#VALUE!</v>
      </c>
      <c r="I222" s="135">
        <f>IFERROR(VLOOKUP(C222,'02_TCT GUADAMUR'!$D$6:$M$36,10,FALSE),"")</f>
        <v>0</v>
      </c>
      <c r="J222" s="135">
        <f>IFERROR(VLOOKUP(C222,'02_TCT GUADAMUR'!$D$6:$O$36,12,FALSE),"")</f>
        <v>6</v>
      </c>
      <c r="K222" s="138">
        <f t="shared" si="228"/>
        <v>6</v>
      </c>
      <c r="L222" s="135">
        <f>IFERROR(VLOOKUP(C222,'03_TCT MAQUEDA'!$D$6:$M$36,10,FALSE),"")</f>
        <v>10</v>
      </c>
      <c r="M222" s="284">
        <f>IFERROR(VLOOKUP(C222,'03_TCT MAQUEDA'!$D$6:$O$36,12,FALSE),"")/2</f>
        <v>5</v>
      </c>
      <c r="N222" s="138">
        <f t="shared" si="229"/>
        <v>15</v>
      </c>
      <c r="O222" s="135" t="str">
        <f>IFERROR(VLOOKUP(C222,'04_RALLYE CAM'!$D$6:$M$36,10,FALSE),"")</f>
        <v/>
      </c>
      <c r="P222" s="135" t="str">
        <f>IFERROR(VLOOKUP(C222,'04_RALLYE CAM'!$D$6:$O$36,12,FALSE),"")</f>
        <v/>
      </c>
      <c r="Q222" s="138" t="e">
        <f t="shared" si="230"/>
        <v>#VALUE!</v>
      </c>
      <c r="R222" s="135" t="str">
        <f>IFERROR(VLOOKUP(C222,'05_RS NAVALCARNERO'!$D$6:$M$28,10,FALSE),"")</f>
        <v/>
      </c>
      <c r="S222" s="135" t="str">
        <f>IFERROR(VLOOKUP(C222,'05_RS NAVALCARNERO'!$D$6:$O$28,12,FALSE),"")</f>
        <v/>
      </c>
      <c r="T222" s="138" t="e">
        <f t="shared" si="231"/>
        <v>#VALUE!</v>
      </c>
      <c r="U222" s="135" t="str">
        <f>IFERROR(VLOOKUP(C222,'06_TCT NUEVO BAZTÁN'!$D$6:$M$28,10,FALSE),"")</f>
        <v/>
      </c>
      <c r="V222" s="135" t="str">
        <f>IFERROR(VLOOKUP(C222,'06_TCT NUEVO BAZTÁN'!$D$6:$O$28,12,FALSE),"")</f>
        <v/>
      </c>
      <c r="W222" s="138" t="e">
        <f t="shared" si="232"/>
        <v>#VALUE!</v>
      </c>
      <c r="X222" s="139" t="e">
        <f>H222+K222+N222+Q222+T222+W222</f>
        <v>#VALUE!</v>
      </c>
      <c r="Y222" s="147"/>
      <c r="Z222" s="7"/>
      <c r="AA222" s="7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</row>
    <row r="223" spans="2:39" ht="13" x14ac:dyDescent="0.3">
      <c r="B223" s="133">
        <v>4</v>
      </c>
      <c r="C223" s="487" t="s">
        <v>635</v>
      </c>
      <c r="D223" s="227">
        <v>5</v>
      </c>
      <c r="E223" s="137"/>
      <c r="F223" s="135" t="str">
        <f>IFERROR(VLOOKUP(C223,'01_RS ALCARRIA'!$D$6:$M$36,10,FALSE),"")</f>
        <v/>
      </c>
      <c r="G223" s="135" t="str">
        <f>IFERROR(VLOOKUP(C223,'01_RS ALCARRIA'!$D$6:$O$36,12,FALSE),"")</f>
        <v/>
      </c>
      <c r="H223" s="138" t="e">
        <f t="shared" ref="H223" si="233">(F223+G223)*2</f>
        <v>#VALUE!</v>
      </c>
      <c r="I223" s="135" t="str">
        <f>IFERROR(VLOOKUP(C223,'02_TCT GUADAMUR'!$D$6:$M$36,10,FALSE),"")</f>
        <v/>
      </c>
      <c r="J223" s="135" t="str">
        <f>IFERROR(VLOOKUP(C223,'02_TCT GUADAMUR'!$D$6:$O$36,12,FALSE),"")</f>
        <v/>
      </c>
      <c r="K223" s="138" t="e">
        <f t="shared" ref="K223" si="234">(I223+J223)</f>
        <v>#VALUE!</v>
      </c>
      <c r="L223" s="135" t="str">
        <f>IFERROR(VLOOKUP(C223,'03_TCT MAQUEDA'!$D$6:$M$36,10,FALSE),"")</f>
        <v/>
      </c>
      <c r="M223" s="135" t="str">
        <f>IFERROR(VLOOKUP(C223,'03_TCT MAQUEDA'!$D$6:$O$36,12,FALSE),"")</f>
        <v/>
      </c>
      <c r="N223" s="138" t="e">
        <f t="shared" ref="N223" si="235">(L223+M223)</f>
        <v>#VALUE!</v>
      </c>
      <c r="O223" s="135" t="str">
        <f>IFERROR(VLOOKUP(C223,'04_RALLYE CAM'!$D$6:$M$36,10,FALSE),"")</f>
        <v/>
      </c>
      <c r="P223" s="135" t="str">
        <f>IFERROR(VLOOKUP(C223,'04_RALLYE CAM'!$D$6:$O$36,12,FALSE),"")</f>
        <v/>
      </c>
      <c r="Q223" s="138" t="e">
        <f t="shared" ref="Q223" si="236">(O223+P223)*3</f>
        <v>#VALUE!</v>
      </c>
      <c r="R223" s="135" t="str">
        <f>IFERROR(VLOOKUP(C223,'05_RS NAVALCARNERO'!$D$6:$M$28,10,FALSE),"")</f>
        <v/>
      </c>
      <c r="S223" s="135" t="str">
        <f>IFERROR(VLOOKUP(C223,'05_RS NAVALCARNERO'!$D$6:$O$28,12,FALSE),"")</f>
        <v/>
      </c>
      <c r="T223" s="138" t="e">
        <f t="shared" ref="T223" si="237">(R223+S223)*2</f>
        <v>#VALUE!</v>
      </c>
      <c r="U223" s="135" t="str">
        <f>IFERROR(VLOOKUP(C223,'06_TCT NUEVO BAZTÁN'!$D$6:$M$28,10,FALSE),"")</f>
        <v/>
      </c>
      <c r="V223" s="135" t="str">
        <f>IFERROR(VLOOKUP(C223,'06_TCT NUEVO BAZTÁN'!$D$6:$O$28,12,FALSE),"")</f>
        <v/>
      </c>
      <c r="W223" s="138" t="e">
        <f t="shared" ref="W223" si="238">(U223+V223)</f>
        <v>#VALUE!</v>
      </c>
      <c r="X223" s="139" t="e">
        <f>H223+K223+N223+Q223+T223+W223</f>
        <v>#VALUE!</v>
      </c>
      <c r="Y223" s="147"/>
      <c r="Z223" s="7"/>
      <c r="AA223" s="7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</row>
    <row r="224" spans="2:39" ht="13" x14ac:dyDescent="0.3">
      <c r="B224" s="133">
        <v>4</v>
      </c>
      <c r="C224" s="487" t="s">
        <v>698</v>
      </c>
      <c r="D224" s="227">
        <v>5</v>
      </c>
      <c r="E224" s="137"/>
      <c r="F224" s="135" t="str">
        <f>IFERROR(VLOOKUP(C224,'01_RS ALCARRIA'!$D$6:$M$36,10,FALSE),"")</f>
        <v/>
      </c>
      <c r="G224" s="135" t="str">
        <f>IFERROR(VLOOKUP(C224,'01_RS ALCARRIA'!$D$6:$O$36,12,FALSE),"")</f>
        <v/>
      </c>
      <c r="H224" s="138" t="e">
        <f t="shared" ref="H224" si="239">(F224+G224)*2</f>
        <v>#VALUE!</v>
      </c>
      <c r="I224" s="135" t="str">
        <f>IFERROR(VLOOKUP(C224,'02_TCT GUADAMUR'!$D$6:$M$36,10,FALSE),"")</f>
        <v/>
      </c>
      <c r="J224" s="135" t="str">
        <f>IFERROR(VLOOKUP(C224,'02_TCT GUADAMUR'!$D$6:$O$36,12,FALSE),"")</f>
        <v/>
      </c>
      <c r="K224" s="138" t="e">
        <f t="shared" ref="K224" si="240">(I224+J224)</f>
        <v>#VALUE!</v>
      </c>
      <c r="L224" s="135">
        <f>IFERROR(VLOOKUP(C224,'03_TCT MAQUEDA'!$D$6:$M$36,10,FALSE),"")</f>
        <v>3</v>
      </c>
      <c r="M224" s="284">
        <f>IFERROR(VLOOKUP(C224,'03_TCT MAQUEDA'!$D$6:$O$36,12,FALSE),"")/2</f>
        <v>4</v>
      </c>
      <c r="N224" s="138">
        <f t="shared" ref="N224" si="241">(L224+M224)</f>
        <v>7</v>
      </c>
      <c r="O224" s="135" t="str">
        <f>IFERROR(VLOOKUP(C224,'04_RALLYE CAM'!$D$6:$M$36,10,FALSE),"")</f>
        <v/>
      </c>
      <c r="P224" s="135" t="str">
        <f>IFERROR(VLOOKUP(C224,'04_RALLYE CAM'!$D$6:$O$36,12,FALSE),"")</f>
        <v/>
      </c>
      <c r="Q224" s="138" t="e">
        <f t="shared" ref="Q224" si="242">(O224+P224)*3</f>
        <v>#VALUE!</v>
      </c>
      <c r="R224" s="135" t="str">
        <f>IFERROR(VLOOKUP(C224,'05_RS NAVALCARNERO'!$D$6:$M$28,10,FALSE),"")</f>
        <v/>
      </c>
      <c r="S224" s="135" t="str">
        <f>IFERROR(VLOOKUP(C224,'05_RS NAVALCARNERO'!$D$6:$O$28,12,FALSE),"")</f>
        <v/>
      </c>
      <c r="T224" s="138" t="e">
        <f t="shared" ref="T224" si="243">(R224+S224)*2</f>
        <v>#VALUE!</v>
      </c>
      <c r="U224" s="135" t="str">
        <f>IFERROR(VLOOKUP(C224,'06_TCT NUEVO BAZTÁN'!$D$6:$M$28,10,FALSE),"")</f>
        <v/>
      </c>
      <c r="V224" s="135" t="str">
        <f>IFERROR(VLOOKUP(C224,'06_TCT NUEVO BAZTÁN'!$D$6:$O$28,12,FALSE),"")</f>
        <v/>
      </c>
      <c r="W224" s="138" t="e">
        <f t="shared" ref="W224" si="244">(U224+V224)</f>
        <v>#VALUE!</v>
      </c>
      <c r="X224" s="139" t="e">
        <f>H224+K224+N224+Q224+T224+W224</f>
        <v>#VALUE!</v>
      </c>
      <c r="Y224" s="147"/>
      <c r="Z224" s="7"/>
      <c r="AA224" s="7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</row>
    <row r="225" spans="2:39" ht="12" x14ac:dyDescent="0.3">
      <c r="B225" s="155"/>
      <c r="C225" s="236"/>
      <c r="D225" s="155"/>
      <c r="E225" s="155"/>
      <c r="F225" s="147"/>
      <c r="G225" s="147"/>
      <c r="H225" s="147"/>
      <c r="I225" s="147"/>
      <c r="J225" s="147"/>
      <c r="K225" s="147"/>
      <c r="L225" s="147"/>
      <c r="M225" s="147"/>
      <c r="N225" s="147"/>
      <c r="O225" s="147"/>
      <c r="P225" s="147"/>
      <c r="Q225" s="147"/>
      <c r="R225" s="147"/>
      <c r="S225" s="147"/>
      <c r="T225" s="147"/>
      <c r="U225" s="147"/>
      <c r="V225" s="147"/>
      <c r="W225" s="147"/>
      <c r="X225" s="147"/>
      <c r="Y225" s="147"/>
      <c r="Z225" s="7"/>
      <c r="AA225" s="7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</row>
    <row r="226" spans="2:39" ht="12" x14ac:dyDescent="0.3">
      <c r="B226" s="155"/>
      <c r="C226" s="236"/>
      <c r="D226" s="284"/>
      <c r="E226" s="285" t="s">
        <v>534</v>
      </c>
      <c r="F226" s="147"/>
      <c r="G226" s="147"/>
      <c r="H226" s="147"/>
      <c r="I226" s="147"/>
      <c r="J226" s="147"/>
      <c r="K226" s="147"/>
      <c r="L226" s="147"/>
      <c r="M226" s="147"/>
      <c r="N226" s="147"/>
      <c r="O226" s="147"/>
      <c r="P226" s="147"/>
      <c r="Q226" s="147"/>
      <c r="R226" s="147"/>
      <c r="S226" s="147"/>
      <c r="T226" s="147"/>
      <c r="U226" s="147"/>
      <c r="V226" s="147"/>
      <c r="W226" s="147"/>
      <c r="X226" s="147"/>
      <c r="Y226" s="147"/>
      <c r="Z226" s="7"/>
      <c r="AA226" s="7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</row>
    <row r="227" spans="2:39" ht="12" x14ac:dyDescent="0.3">
      <c r="B227" s="155"/>
      <c r="C227" s="236"/>
      <c r="D227" s="155"/>
      <c r="E227" s="155"/>
      <c r="F227" s="147"/>
      <c r="G227" s="147"/>
      <c r="H227" s="147"/>
      <c r="I227" s="147"/>
      <c r="J227" s="147"/>
      <c r="K227" s="147"/>
      <c r="L227" s="147"/>
      <c r="M227" s="147"/>
      <c r="N227" s="147"/>
      <c r="O227" s="147"/>
      <c r="P227" s="147"/>
      <c r="Q227" s="147"/>
      <c r="R227" s="147"/>
      <c r="S227" s="147"/>
      <c r="T227" s="147"/>
      <c r="U227" s="147"/>
      <c r="V227" s="147"/>
      <c r="W227" s="147"/>
      <c r="X227" s="147"/>
      <c r="Y227" s="147"/>
      <c r="Z227" s="7"/>
      <c r="AA227" s="7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</row>
    <row r="228" spans="2:39" ht="37.5" customHeight="1" x14ac:dyDescent="0.55000000000000004">
      <c r="B228" s="527" t="s">
        <v>553</v>
      </c>
      <c r="C228" s="527"/>
      <c r="D228" s="527"/>
      <c r="E228" s="527"/>
      <c r="F228" s="527"/>
      <c r="G228" s="527"/>
      <c r="H228" s="527"/>
      <c r="I228" s="527"/>
      <c r="J228" s="527"/>
      <c r="K228" s="527"/>
      <c r="L228" s="527"/>
      <c r="M228" s="527"/>
      <c r="N228" s="527"/>
      <c r="O228" s="527"/>
      <c r="P228" s="527"/>
      <c r="Q228" s="527"/>
      <c r="R228" s="527"/>
      <c r="S228" s="527"/>
      <c r="T228" s="527"/>
      <c r="U228" s="527"/>
      <c r="V228" s="527"/>
      <c r="W228" s="527"/>
      <c r="X228" s="461"/>
      <c r="Y228" s="147"/>
      <c r="Z228" s="7"/>
      <c r="AA228" s="7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</row>
    <row r="229" spans="2:39" ht="33" customHeight="1" x14ac:dyDescent="0.3">
      <c r="B229" s="531" t="s">
        <v>338</v>
      </c>
      <c r="C229" s="531"/>
      <c r="D229" s="531"/>
      <c r="E229" s="531"/>
      <c r="F229" s="531"/>
      <c r="G229" s="531"/>
      <c r="H229" s="531"/>
      <c r="I229" s="531"/>
      <c r="J229" s="531"/>
      <c r="K229" s="531"/>
      <c r="L229" s="531"/>
      <c r="M229" s="531"/>
      <c r="N229" s="531"/>
      <c r="O229" s="531"/>
      <c r="P229" s="531"/>
      <c r="Q229" s="531"/>
      <c r="R229" s="531"/>
      <c r="S229" s="531"/>
      <c r="T229" s="531"/>
      <c r="U229" s="531"/>
      <c r="V229" s="531"/>
      <c r="W229" s="531"/>
      <c r="X229" s="167"/>
      <c r="Y229" s="147"/>
      <c r="Z229" s="7"/>
      <c r="AA229" s="7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</row>
    <row r="230" spans="2:39" ht="15.5" x14ac:dyDescent="0.3">
      <c r="B230" s="162"/>
      <c r="C230" s="168"/>
      <c r="D230" s="161"/>
      <c r="E230" s="161"/>
      <c r="F230" s="222" t="s">
        <v>220</v>
      </c>
      <c r="G230" s="223"/>
      <c r="H230" s="224"/>
      <c r="I230" s="222" t="s">
        <v>663</v>
      </c>
      <c r="J230" s="225"/>
      <c r="K230" s="226"/>
      <c r="L230" s="222" t="s">
        <v>532</v>
      </c>
      <c r="M230" s="225"/>
      <c r="N230" s="226"/>
      <c r="O230" s="222" t="s">
        <v>526</v>
      </c>
      <c r="P230" s="225"/>
      <c r="Q230" s="226"/>
      <c r="R230" s="222" t="s">
        <v>287</v>
      </c>
      <c r="S230" s="225"/>
      <c r="T230" s="226"/>
      <c r="U230" s="413" t="s">
        <v>527</v>
      </c>
      <c r="V230" s="226"/>
      <c r="W230" s="226"/>
      <c r="X230" s="161" t="s">
        <v>213</v>
      </c>
      <c r="Y230" s="147"/>
      <c r="Z230" s="7"/>
      <c r="AA230" s="7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</row>
    <row r="231" spans="2:39" ht="15.5" x14ac:dyDescent="0.3">
      <c r="B231" s="159" t="s">
        <v>0</v>
      </c>
      <c r="C231" s="170" t="s">
        <v>166</v>
      </c>
      <c r="D231" s="160" t="s">
        <v>2</v>
      </c>
      <c r="E231" s="160" t="s">
        <v>3</v>
      </c>
      <c r="F231" s="217" t="s">
        <v>523</v>
      </c>
      <c r="G231" s="218"/>
      <c r="H231" s="219"/>
      <c r="I231" s="217" t="s">
        <v>525</v>
      </c>
      <c r="J231" s="220"/>
      <c r="K231" s="221"/>
      <c r="L231" s="217" t="s">
        <v>664</v>
      </c>
      <c r="M231" s="220"/>
      <c r="N231" s="221"/>
      <c r="O231" s="217" t="s">
        <v>529</v>
      </c>
      <c r="P231" s="220"/>
      <c r="Q231" s="221"/>
      <c r="R231" s="217" t="s">
        <v>530</v>
      </c>
      <c r="S231" s="220"/>
      <c r="T231" s="221"/>
      <c r="U231" s="414" t="s">
        <v>528</v>
      </c>
      <c r="V231" s="255"/>
      <c r="W231" s="415"/>
      <c r="X231" s="160" t="s">
        <v>9</v>
      </c>
      <c r="Y231" s="147"/>
      <c r="Z231" s="7"/>
      <c r="AA231" s="7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</row>
    <row r="232" spans="2:39" ht="13" x14ac:dyDescent="0.3">
      <c r="B232" s="163"/>
      <c r="C232" s="169"/>
      <c r="D232" s="157"/>
      <c r="E232" s="157"/>
      <c r="F232" s="131" t="s">
        <v>33</v>
      </c>
      <c r="G232" s="131" t="s">
        <v>34</v>
      </c>
      <c r="H232" s="132" t="s">
        <v>35</v>
      </c>
      <c r="I232" s="131" t="s">
        <v>33</v>
      </c>
      <c r="J232" s="131" t="s">
        <v>34</v>
      </c>
      <c r="K232" s="132" t="s">
        <v>35</v>
      </c>
      <c r="L232" s="131" t="s">
        <v>33</v>
      </c>
      <c r="M232" s="131" t="s">
        <v>34</v>
      </c>
      <c r="N232" s="132" t="s">
        <v>35</v>
      </c>
      <c r="O232" s="131" t="s">
        <v>33</v>
      </c>
      <c r="P232" s="131" t="s">
        <v>34</v>
      </c>
      <c r="Q232" s="132" t="s">
        <v>35</v>
      </c>
      <c r="R232" s="131" t="s">
        <v>33</v>
      </c>
      <c r="S232" s="131" t="s">
        <v>34</v>
      </c>
      <c r="T232" s="132" t="s">
        <v>35</v>
      </c>
      <c r="U232" s="131" t="s">
        <v>33</v>
      </c>
      <c r="V232" s="131" t="s">
        <v>34</v>
      </c>
      <c r="W232" s="132" t="s">
        <v>35</v>
      </c>
      <c r="X232" s="157"/>
      <c r="Y232" s="147"/>
      <c r="Z232" s="7"/>
      <c r="AA232" s="7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</row>
    <row r="233" spans="2:39" ht="13" x14ac:dyDescent="0.3">
      <c r="B233" s="133">
        <v>1</v>
      </c>
      <c r="C233" s="487" t="s">
        <v>598</v>
      </c>
      <c r="D233" s="227">
        <v>5</v>
      </c>
      <c r="E233" s="137"/>
      <c r="F233" s="135">
        <f>IFERROR(VLOOKUP(C233,'01_RS ALCARRIA'!$F$6:$R$36,13,FALSE),"")</f>
        <v>6</v>
      </c>
      <c r="G233" s="135">
        <f>IFERROR(VLOOKUP(C233,'01_RS ALCARRIA'!$F$6:$T$36,15,FALSE),"")</f>
        <v>10</v>
      </c>
      <c r="H233" s="138">
        <f>(F233+G233)*2</f>
        <v>32</v>
      </c>
      <c r="I233" s="135">
        <f>IFERROR(VLOOKUP(C233,'02_TCT GUADAMUR'!$F$6:$R$36,13,FALSE),"")</f>
        <v>10</v>
      </c>
      <c r="J233" s="135">
        <f>IFERROR(VLOOKUP(C233,'02_TCT GUADAMUR'!$F$6:$T$36,15,FALSE),"")</f>
        <v>10</v>
      </c>
      <c r="K233" s="138">
        <f>(I233+J233)</f>
        <v>20</v>
      </c>
      <c r="L233" s="135" t="str">
        <f>IFERROR(VLOOKUP(C233,'03_TCT MAQUEDA'!$F$6:$R$36,13,FALSE),"")</f>
        <v/>
      </c>
      <c r="M233" s="135" t="str">
        <f>IFERROR(VLOOKUP(C233,'03_TCT MAQUEDA'!$F$6:$T$36,15,FALSE),"")</f>
        <v/>
      </c>
      <c r="N233" s="138" t="e">
        <f>(L233+M233)</f>
        <v>#VALUE!</v>
      </c>
      <c r="O233" s="135" t="str">
        <f>IFERROR(VLOOKUP(C233,'04_RALLYE CAM'!$F$6:$R$36,13,FALSE),"")</f>
        <v/>
      </c>
      <c r="P233" s="135" t="str">
        <f>IFERROR(VLOOKUP(C233,'04_RALLYE CAM'!$F$6:$T$36,15,FALSE),"")</f>
        <v/>
      </c>
      <c r="Q233" s="138" t="e">
        <f>(O233+P233)*3</f>
        <v>#VALUE!</v>
      </c>
      <c r="R233" s="135" t="str">
        <f>IFERROR(VLOOKUP(C233,'05_RS NAVALCARNERO'!$F$6:$R$28,13,FALSE),"")</f>
        <v/>
      </c>
      <c r="S233" s="135" t="str">
        <f>IFERROR(VLOOKUP(C233,'05_RS NAVALCARNERO'!$F$6:$T$28,15,FALSE),"")</f>
        <v/>
      </c>
      <c r="T233" s="138" t="e">
        <f>(R233+S233)*2</f>
        <v>#VALUE!</v>
      </c>
      <c r="U233" s="135" t="str">
        <f>IFERROR(VLOOKUP(C233,'06_TCT NUEVO BAZTÁN'!$F$6:$R$28,13,FALSE),"")</f>
        <v/>
      </c>
      <c r="V233" s="135" t="str">
        <f>IFERROR(VLOOKUP(C233,'06_TCT NUEVO BAZTÁN'!$F$6:$T$28,15,FALSE),"")</f>
        <v/>
      </c>
      <c r="W233" s="138" t="e">
        <f>(U233+V233)</f>
        <v>#VALUE!</v>
      </c>
      <c r="X233" s="139" t="e">
        <f>H233+K233+N233+Q233+T233+W233</f>
        <v>#VALUE!</v>
      </c>
      <c r="Y233" s="147"/>
      <c r="Z233" s="7"/>
      <c r="AA233" s="7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</row>
    <row r="234" spans="2:39" ht="13" x14ac:dyDescent="0.3">
      <c r="B234" s="133">
        <v>2</v>
      </c>
      <c r="C234" s="487" t="s">
        <v>627</v>
      </c>
      <c r="D234" s="227">
        <v>5</v>
      </c>
      <c r="E234" s="137"/>
      <c r="F234" s="135" t="str">
        <f>IFERROR(VLOOKUP(C234,'01_RS ALCARRIA'!$F$6:$R$36,13,FALSE),"")</f>
        <v/>
      </c>
      <c r="G234" s="135" t="str">
        <f>IFERROR(VLOOKUP(C234,'01_RS ALCARRIA'!$F$6:$T$36,15,FALSE),"")</f>
        <v/>
      </c>
      <c r="H234" s="138" t="e">
        <f>(F234+G234)*2</f>
        <v>#VALUE!</v>
      </c>
      <c r="I234" s="135">
        <f>IFERROR(VLOOKUP(C234,'02_TCT GUADAMUR'!$F$6:$R$36,13,FALSE),"")</f>
        <v>5</v>
      </c>
      <c r="J234" s="135">
        <f>IFERROR(VLOOKUP(C234,'02_TCT GUADAMUR'!$F$6:$T$36,15,FALSE),"")</f>
        <v>8</v>
      </c>
      <c r="K234" s="138">
        <f>(I234+J234)</f>
        <v>13</v>
      </c>
      <c r="L234" s="135" t="str">
        <f>IFERROR(VLOOKUP(C234,'03_TCT MAQUEDA'!$F$6:$R$36,13,FALSE),"")</f>
        <v/>
      </c>
      <c r="M234" s="135" t="str">
        <f>IFERROR(VLOOKUP(C234,'03_TCT MAQUEDA'!$F$6:$T$36,15,FALSE),"")</f>
        <v/>
      </c>
      <c r="N234" s="138" t="e">
        <f>(L234+M234)</f>
        <v>#VALUE!</v>
      </c>
      <c r="O234" s="135" t="str">
        <f>IFERROR(VLOOKUP(C234,'04_RALLYE CAM'!$F$6:$R$36,13,FALSE),"")</f>
        <v/>
      </c>
      <c r="P234" s="135" t="str">
        <f>IFERROR(VLOOKUP(C234,'04_RALLYE CAM'!$F$6:$T$36,15,FALSE),"")</f>
        <v/>
      </c>
      <c r="Q234" s="138" t="e">
        <f>(O234+P234)*3</f>
        <v>#VALUE!</v>
      </c>
      <c r="R234" s="135" t="str">
        <f>IFERROR(VLOOKUP(C234,'05_RS NAVALCARNERO'!$F$6:$R$28,13,FALSE),"")</f>
        <v/>
      </c>
      <c r="S234" s="135" t="str">
        <f>IFERROR(VLOOKUP(C234,'05_RS NAVALCARNERO'!$F$6:$T$28,15,FALSE),"")</f>
        <v/>
      </c>
      <c r="T234" s="138" t="e">
        <f>(R234+S234)*2</f>
        <v>#VALUE!</v>
      </c>
      <c r="U234" s="135" t="str">
        <f>IFERROR(VLOOKUP(C234,'06_TCT NUEVO BAZTÁN'!$F$6:$R$28,13,FALSE),"")</f>
        <v/>
      </c>
      <c r="V234" s="135" t="str">
        <f>IFERROR(VLOOKUP(C234,'06_TCT NUEVO BAZTÁN'!$F$6:$T$28,15,FALSE),"")</f>
        <v/>
      </c>
      <c r="W234" s="138" t="e">
        <f>(U234+V234)</f>
        <v>#VALUE!</v>
      </c>
      <c r="X234" s="139" t="e">
        <f>H234+K234+N234+Q234+T234+W234</f>
        <v>#VALUE!</v>
      </c>
      <c r="Y234" s="147"/>
      <c r="Z234" s="7"/>
      <c r="AA234" s="7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</row>
    <row r="235" spans="2:39" ht="13" x14ac:dyDescent="0.3">
      <c r="B235" s="133">
        <v>3</v>
      </c>
      <c r="C235" s="487" t="s">
        <v>631</v>
      </c>
      <c r="D235" s="227">
        <v>5</v>
      </c>
      <c r="E235" s="137"/>
      <c r="F235" s="135" t="str">
        <f>IFERROR(VLOOKUP(C235,'01_RS ALCARRIA'!$F$6:$R$36,13,FALSE),"")</f>
        <v/>
      </c>
      <c r="G235" s="135" t="str">
        <f>IFERROR(VLOOKUP(C235,'01_RS ALCARRIA'!$F$6:$T$36,15,FALSE),"")</f>
        <v/>
      </c>
      <c r="H235" s="138" t="e">
        <f>(F235+G235)*2</f>
        <v>#VALUE!</v>
      </c>
      <c r="I235" s="135">
        <f>IFERROR(VLOOKUP(C235,'02_TCT GUADAMUR'!$F$6:$R$36,13,FALSE),"")</f>
        <v>0</v>
      </c>
      <c r="J235" s="135">
        <f>IFERROR(VLOOKUP(C235,'02_TCT GUADAMUR'!$F$6:$T$36,15,FALSE),"")</f>
        <v>6</v>
      </c>
      <c r="K235" s="138">
        <f>(I235+J235)</f>
        <v>6</v>
      </c>
      <c r="L235" s="135">
        <f>IFERROR(VLOOKUP(C235,'03_TCT MAQUEDA'!$F$6:$R$36,13,FALSE),"")</f>
        <v>10</v>
      </c>
      <c r="M235" s="284">
        <f>IFERROR(VLOOKUP(C235,'03_TCT MAQUEDA'!$F$6:$T$36,15,FALSE),"")/2</f>
        <v>5</v>
      </c>
      <c r="N235" s="138">
        <f>(L235+M235)</f>
        <v>15</v>
      </c>
      <c r="O235" s="135" t="str">
        <f>IFERROR(VLOOKUP(C235,'04_RALLYE CAM'!$F$6:$R$36,13,FALSE),"")</f>
        <v/>
      </c>
      <c r="P235" s="135" t="str">
        <f>IFERROR(VLOOKUP(C235,'04_RALLYE CAM'!$F$6:$T$36,15,FALSE),"")</f>
        <v/>
      </c>
      <c r="Q235" s="138" t="e">
        <f>(O235+P235)*3</f>
        <v>#VALUE!</v>
      </c>
      <c r="R235" s="135" t="str">
        <f>IFERROR(VLOOKUP(C235,'05_RS NAVALCARNERO'!$F$6:$R$28,13,FALSE),"")</f>
        <v/>
      </c>
      <c r="S235" s="135" t="str">
        <f>IFERROR(VLOOKUP(C235,'05_RS NAVALCARNERO'!$F$6:$T$28,15,FALSE),"")</f>
        <v/>
      </c>
      <c r="T235" s="138" t="e">
        <f>(R235+S235)*2</f>
        <v>#VALUE!</v>
      </c>
      <c r="U235" s="135" t="str">
        <f>IFERROR(VLOOKUP(C235,'06_TCT NUEVO BAZTÁN'!$F$6:$R$28,13,FALSE),"")</f>
        <v/>
      </c>
      <c r="V235" s="135" t="str">
        <f>IFERROR(VLOOKUP(C235,'06_TCT NUEVO BAZTÁN'!$F$6:$T$28,15,FALSE),"")</f>
        <v/>
      </c>
      <c r="W235" s="138" t="e">
        <f>(U235+V235)</f>
        <v>#VALUE!</v>
      </c>
      <c r="X235" s="139" t="e">
        <f>H235+K235+N235+Q235+T235+W235</f>
        <v>#VALUE!</v>
      </c>
      <c r="Y235" s="147"/>
      <c r="Z235" s="7"/>
      <c r="AA235" s="7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</row>
    <row r="236" spans="2:39" ht="13" x14ac:dyDescent="0.3">
      <c r="B236" s="133">
        <v>4</v>
      </c>
      <c r="C236" s="487" t="s">
        <v>636</v>
      </c>
      <c r="D236" s="227">
        <v>5</v>
      </c>
      <c r="E236" s="137"/>
      <c r="F236" s="135" t="str">
        <f>IFERROR(VLOOKUP(C236,'01_RS ALCARRIA'!$F$6:$R$36,13,FALSE),"")</f>
        <v/>
      </c>
      <c r="G236" s="135" t="str">
        <f>IFERROR(VLOOKUP(C236,'01_RS ALCARRIA'!$F$6:$T$36,15,FALSE),"")</f>
        <v/>
      </c>
      <c r="H236" s="138" t="e">
        <f>(F236+G236)*2</f>
        <v>#VALUE!</v>
      </c>
      <c r="I236" s="135" t="str">
        <f>IFERROR(VLOOKUP(C236,'02_TCT GUADAMUR'!$F$6:$R$36,13,FALSE),"")</f>
        <v/>
      </c>
      <c r="J236" s="135" t="str">
        <f>IFERROR(VLOOKUP(C236,'02_TCT GUADAMUR'!$F$6:$T$36,15,FALSE),"")</f>
        <v/>
      </c>
      <c r="K236" s="138" t="e">
        <f>(I236+J236)</f>
        <v>#VALUE!</v>
      </c>
      <c r="L236" s="135" t="str">
        <f>IFERROR(VLOOKUP(C236,'03_TCT MAQUEDA'!$F$6:$R$36,13,FALSE),"")</f>
        <v/>
      </c>
      <c r="M236" s="284" t="str">
        <f>IFERROR(VLOOKUP(C236,'03_TCT MAQUEDA'!$F$6:$T$36,15,FALSE),"")</f>
        <v/>
      </c>
      <c r="N236" s="138" t="e">
        <f>(L236+M236)</f>
        <v>#VALUE!</v>
      </c>
      <c r="O236" s="135" t="str">
        <f>IFERROR(VLOOKUP(C236,'04_RALLYE CAM'!$F$6:$R$36,13,FALSE),"")</f>
        <v/>
      </c>
      <c r="P236" s="135" t="str">
        <f>IFERROR(VLOOKUP(C236,'04_RALLYE CAM'!$F$6:$T$36,15,FALSE),"")</f>
        <v/>
      </c>
      <c r="Q236" s="138" t="e">
        <f>(O236+P236)*3</f>
        <v>#VALUE!</v>
      </c>
      <c r="R236" s="135" t="str">
        <f>IFERROR(VLOOKUP(C236,'05_RS NAVALCARNERO'!$F$6:$R$28,13,FALSE),"")</f>
        <v/>
      </c>
      <c r="S236" s="135" t="str">
        <f>IFERROR(VLOOKUP(C236,'05_RS NAVALCARNERO'!$F$6:$T$28,15,FALSE),"")</f>
        <v/>
      </c>
      <c r="T236" s="138" t="e">
        <f>(R236+S236)*2</f>
        <v>#VALUE!</v>
      </c>
      <c r="U236" s="135" t="str">
        <f>IFERROR(VLOOKUP(C236,'06_TCT NUEVO BAZTÁN'!$F$6:$R$28,13,FALSE),"")</f>
        <v/>
      </c>
      <c r="V236" s="135" t="str">
        <f>IFERROR(VLOOKUP(C236,'06_TCT NUEVO BAZTÁN'!$F$6:$T$28,15,FALSE),"")</f>
        <v/>
      </c>
      <c r="W236" s="138" t="e">
        <f>(U236+V236)</f>
        <v>#VALUE!</v>
      </c>
      <c r="X236" s="139" t="e">
        <f>H236+K236+N236+Q236+T236+W236</f>
        <v>#VALUE!</v>
      </c>
      <c r="Y236" s="147"/>
      <c r="Z236" s="7"/>
      <c r="AA236" s="7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</row>
    <row r="237" spans="2:39" ht="13" x14ac:dyDescent="0.3">
      <c r="B237" s="133">
        <v>4</v>
      </c>
      <c r="C237" s="487" t="s">
        <v>699</v>
      </c>
      <c r="D237" s="227">
        <v>5</v>
      </c>
      <c r="E237" s="137"/>
      <c r="F237" s="135" t="str">
        <f>IFERROR(VLOOKUP(C237,'01_RS ALCARRIA'!$F$6:$R$36,13,FALSE),"")</f>
        <v/>
      </c>
      <c r="G237" s="135" t="str">
        <f>IFERROR(VLOOKUP(C237,'01_RS ALCARRIA'!$F$6:$T$36,15,FALSE),"")</f>
        <v/>
      </c>
      <c r="H237" s="138" t="e">
        <f>(F237+G237)*2</f>
        <v>#VALUE!</v>
      </c>
      <c r="I237" s="135" t="str">
        <f>IFERROR(VLOOKUP(C237,'02_TCT GUADAMUR'!$F$6:$R$36,13,FALSE),"")</f>
        <v/>
      </c>
      <c r="J237" s="135" t="str">
        <f>IFERROR(VLOOKUP(C237,'02_TCT GUADAMUR'!$F$6:$T$36,15,FALSE),"")</f>
        <v/>
      </c>
      <c r="K237" s="138" t="e">
        <f>(I237+J237)</f>
        <v>#VALUE!</v>
      </c>
      <c r="L237" s="135">
        <f>IFERROR(VLOOKUP(C237,'03_TCT MAQUEDA'!$F$6:$R$36,13,FALSE),"")</f>
        <v>4</v>
      </c>
      <c r="M237" s="284">
        <f>IFERROR(VLOOKUP(C237,'03_TCT MAQUEDA'!$F$6:$T$36,15,FALSE),"")/2</f>
        <v>4</v>
      </c>
      <c r="N237" s="138">
        <f>(L237+M237)</f>
        <v>8</v>
      </c>
      <c r="O237" s="135" t="str">
        <f>IFERROR(VLOOKUP(C237,'04_RALLYE CAM'!$F$6:$R$36,13,FALSE),"")</f>
        <v/>
      </c>
      <c r="P237" s="135" t="str">
        <f>IFERROR(VLOOKUP(C237,'04_RALLYE CAM'!$F$6:$T$36,15,FALSE),"")</f>
        <v/>
      </c>
      <c r="Q237" s="138" t="e">
        <f>(O237+P237)*3</f>
        <v>#VALUE!</v>
      </c>
      <c r="R237" s="135" t="str">
        <f>IFERROR(VLOOKUP(C237,'05_RS NAVALCARNERO'!$F$6:$R$28,13,FALSE),"")</f>
        <v/>
      </c>
      <c r="S237" s="135" t="str">
        <f>IFERROR(VLOOKUP(C237,'05_RS NAVALCARNERO'!$F$6:$T$28,15,FALSE),"")</f>
        <v/>
      </c>
      <c r="T237" s="138" t="e">
        <f>(R237+S237)*2</f>
        <v>#VALUE!</v>
      </c>
      <c r="U237" s="135" t="str">
        <f>IFERROR(VLOOKUP(C237,'06_TCT NUEVO BAZTÁN'!$F$6:$R$28,13,FALSE),"")</f>
        <v/>
      </c>
      <c r="V237" s="135" t="str">
        <f>IFERROR(VLOOKUP(C237,'06_TCT NUEVO BAZTÁN'!$F$6:$T$28,15,FALSE),"")</f>
        <v/>
      </c>
      <c r="W237" s="138" t="e">
        <f>(U237+V237)</f>
        <v>#VALUE!</v>
      </c>
      <c r="X237" s="139" t="e">
        <f>H237+K237+N237+Q237+T237+W237</f>
        <v>#VALUE!</v>
      </c>
      <c r="Y237" s="147"/>
      <c r="Z237" s="7"/>
      <c r="AA237" s="7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</row>
    <row r="238" spans="2:39" ht="12" x14ac:dyDescent="0.3">
      <c r="B238" s="155"/>
      <c r="C238" s="236"/>
      <c r="D238" s="155"/>
      <c r="E238" s="155"/>
      <c r="F238" s="147"/>
      <c r="G238" s="147"/>
      <c r="H238" s="147"/>
      <c r="I238" s="147"/>
      <c r="J238" s="147"/>
      <c r="K238" s="147"/>
      <c r="L238" s="147"/>
      <c r="M238" s="147"/>
      <c r="N238" s="147"/>
      <c r="O238" s="147"/>
      <c r="P238" s="147"/>
      <c r="Q238" s="147"/>
      <c r="R238" s="147"/>
      <c r="S238" s="147"/>
      <c r="T238" s="147"/>
      <c r="U238" s="147"/>
      <c r="V238" s="147"/>
      <c r="W238" s="147"/>
      <c r="X238" s="147"/>
      <c r="Y238" s="147"/>
      <c r="Z238" s="7"/>
      <c r="AA238" s="7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</row>
    <row r="239" spans="2:39" ht="12" x14ac:dyDescent="0.3">
      <c r="B239" s="155"/>
      <c r="C239" s="236"/>
      <c r="D239" s="284"/>
      <c r="E239" s="285" t="s">
        <v>534</v>
      </c>
      <c r="F239" s="147"/>
      <c r="G239" s="147"/>
      <c r="H239" s="147"/>
      <c r="I239" s="147"/>
      <c r="J239" s="147"/>
      <c r="K239" s="147"/>
      <c r="L239" s="147"/>
      <c r="M239" s="147"/>
      <c r="N239" s="147"/>
      <c r="O239" s="147"/>
      <c r="P239" s="147"/>
      <c r="Q239" s="147"/>
      <c r="R239" s="147"/>
      <c r="S239" s="147"/>
      <c r="T239" s="147"/>
      <c r="U239" s="147"/>
      <c r="V239" s="147"/>
      <c r="W239" s="147"/>
      <c r="X239" s="147"/>
      <c r="Y239" s="147"/>
      <c r="Z239" s="7"/>
      <c r="AA239" s="7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</row>
    <row r="240" spans="2:39" ht="12" x14ac:dyDescent="0.3">
      <c r="B240" s="155"/>
      <c r="C240" s="236"/>
      <c r="D240" s="155"/>
      <c r="E240" s="155"/>
      <c r="F240" s="147"/>
      <c r="G240" s="147"/>
      <c r="H240" s="147"/>
      <c r="I240" s="147"/>
      <c r="J240" s="147"/>
      <c r="K240" s="147"/>
      <c r="L240" s="147"/>
      <c r="M240" s="147"/>
      <c r="N240" s="147"/>
      <c r="O240" s="147"/>
      <c r="P240" s="147"/>
      <c r="Q240" s="147"/>
      <c r="R240" s="147"/>
      <c r="S240" s="147"/>
      <c r="T240" s="147"/>
      <c r="U240" s="147"/>
      <c r="V240" s="147"/>
      <c r="W240" s="147"/>
      <c r="X240" s="147"/>
      <c r="Y240" s="147"/>
      <c r="Z240" s="7"/>
      <c r="AA240" s="7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</row>
    <row r="241" spans="2:39" ht="12" x14ac:dyDescent="0.3">
      <c r="B241" s="155"/>
      <c r="C241" s="236"/>
      <c r="D241" s="155"/>
      <c r="E241" s="155"/>
      <c r="F241" s="147"/>
      <c r="G241" s="147"/>
      <c r="H241" s="147"/>
      <c r="I241" s="147"/>
      <c r="J241" s="147"/>
      <c r="K241" s="147"/>
      <c r="L241" s="147"/>
      <c r="M241" s="147"/>
      <c r="N241" s="147"/>
      <c r="O241" s="147"/>
      <c r="P241" s="147"/>
      <c r="Q241" s="147"/>
      <c r="R241" s="147"/>
      <c r="S241" s="147"/>
      <c r="T241" s="147"/>
      <c r="U241" s="147"/>
      <c r="V241" s="147"/>
      <c r="W241" s="147"/>
      <c r="X241" s="147"/>
      <c r="Y241" s="147"/>
      <c r="Z241" s="7"/>
      <c r="AA241" s="7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</row>
    <row r="242" spans="2:39" ht="12" x14ac:dyDescent="0.3">
      <c r="B242" s="155"/>
      <c r="C242" s="236"/>
      <c r="D242" s="155"/>
      <c r="E242" s="155"/>
      <c r="F242" s="147"/>
      <c r="G242" s="147"/>
      <c r="H242" s="147"/>
      <c r="I242" s="147"/>
      <c r="J242" s="147"/>
      <c r="K242" s="147"/>
      <c r="L242" s="147"/>
      <c r="M242" s="147"/>
      <c r="N242" s="147"/>
      <c r="O242" s="147"/>
      <c r="P242" s="147"/>
      <c r="Q242" s="147"/>
      <c r="R242" s="147"/>
      <c r="S242" s="147"/>
      <c r="T242" s="147"/>
      <c r="U242" s="147"/>
      <c r="V242" s="147"/>
      <c r="W242" s="147"/>
      <c r="X242" s="147"/>
      <c r="Y242" s="147"/>
      <c r="Z242" s="7"/>
      <c r="AA242" s="7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</row>
    <row r="243" spans="2:39" ht="39" customHeight="1" x14ac:dyDescent="0.55000000000000004">
      <c r="B243" s="164" t="s">
        <v>517</v>
      </c>
      <c r="C243" s="165"/>
      <c r="D243" s="165"/>
      <c r="E243" s="165"/>
      <c r="F243" s="165"/>
      <c r="G243" s="165"/>
      <c r="H243" s="165"/>
      <c r="I243" s="165"/>
      <c r="J243" s="165"/>
      <c r="K243" s="165"/>
      <c r="L243" s="165"/>
      <c r="M243" s="165"/>
      <c r="N243" s="165"/>
      <c r="O243" s="165"/>
      <c r="P243" s="165"/>
      <c r="Q243" s="165"/>
      <c r="R243" s="165"/>
      <c r="S243" s="165"/>
      <c r="T243" s="165"/>
      <c r="U243" s="165"/>
      <c r="V243" s="165"/>
      <c r="W243" s="165"/>
      <c r="X243" s="165"/>
    </row>
    <row r="244" spans="2:39" ht="37.5" customHeight="1" x14ac:dyDescent="0.3">
      <c r="B244" s="166" t="s">
        <v>224</v>
      </c>
      <c r="C244" s="167"/>
      <c r="D244" s="167"/>
      <c r="E244" s="167"/>
      <c r="F244" s="167"/>
      <c r="G244" s="167"/>
      <c r="H244" s="167"/>
      <c r="I244" s="167"/>
      <c r="J244" s="167"/>
      <c r="K244" s="167"/>
      <c r="L244" s="167"/>
      <c r="M244" s="167"/>
      <c r="N244" s="167"/>
      <c r="O244" s="167"/>
      <c r="P244" s="167"/>
      <c r="Q244" s="167"/>
      <c r="R244" s="167"/>
      <c r="S244" s="167"/>
      <c r="T244" s="167"/>
      <c r="U244" s="167"/>
      <c r="V244" s="167"/>
      <c r="W244" s="167"/>
      <c r="X244" s="167"/>
      <c r="Y244" s="30"/>
      <c r="Z244" s="30"/>
    </row>
    <row r="245" spans="2:39" ht="12.75" customHeight="1" x14ac:dyDescent="0.3">
      <c r="B245" s="162"/>
      <c r="C245" s="168"/>
      <c r="D245" s="161"/>
      <c r="E245" s="161"/>
      <c r="F245" s="222" t="s">
        <v>220</v>
      </c>
      <c r="G245" s="223"/>
      <c r="H245" s="224"/>
      <c r="I245" s="222" t="s">
        <v>663</v>
      </c>
      <c r="J245" s="225"/>
      <c r="K245" s="226"/>
      <c r="L245" s="222" t="s">
        <v>532</v>
      </c>
      <c r="M245" s="225"/>
      <c r="N245" s="226"/>
      <c r="O245" s="222" t="s">
        <v>526</v>
      </c>
      <c r="P245" s="225"/>
      <c r="Q245" s="226"/>
      <c r="R245" s="222" t="s">
        <v>287</v>
      </c>
      <c r="S245" s="225"/>
      <c r="T245" s="226"/>
      <c r="U245" s="413" t="s">
        <v>527</v>
      </c>
      <c r="V245" s="226"/>
      <c r="W245" s="226"/>
      <c r="X245" s="161" t="s">
        <v>213</v>
      </c>
      <c r="Y245" s="30"/>
      <c r="Z245" s="30"/>
    </row>
    <row r="246" spans="2:39" ht="12.75" customHeight="1" x14ac:dyDescent="0.3">
      <c r="B246" s="159" t="s">
        <v>0</v>
      </c>
      <c r="C246" s="170" t="s">
        <v>1</v>
      </c>
      <c r="D246" s="160" t="s">
        <v>2</v>
      </c>
      <c r="E246" s="160" t="s">
        <v>3</v>
      </c>
      <c r="F246" s="217" t="s">
        <v>523</v>
      </c>
      <c r="G246" s="218"/>
      <c r="H246" s="219"/>
      <c r="I246" s="217" t="s">
        <v>525</v>
      </c>
      <c r="J246" s="220"/>
      <c r="K246" s="221"/>
      <c r="L246" s="217" t="s">
        <v>664</v>
      </c>
      <c r="M246" s="220"/>
      <c r="N246" s="221"/>
      <c r="O246" s="217" t="s">
        <v>529</v>
      </c>
      <c r="P246" s="220"/>
      <c r="Q246" s="221"/>
      <c r="R246" s="217" t="s">
        <v>530</v>
      </c>
      <c r="S246" s="220"/>
      <c r="T246" s="221"/>
      <c r="U246" s="414" t="s">
        <v>528</v>
      </c>
      <c r="V246" s="255"/>
      <c r="W246" s="415"/>
      <c r="X246" s="160" t="s">
        <v>9</v>
      </c>
      <c r="Y246" s="519" t="s">
        <v>223</v>
      </c>
      <c r="Z246" s="521" t="s">
        <v>4</v>
      </c>
    </row>
    <row r="247" spans="2:39" ht="12.75" customHeight="1" x14ac:dyDescent="0.3">
      <c r="B247" s="163"/>
      <c r="C247" s="169"/>
      <c r="D247" s="157"/>
      <c r="E247" s="157"/>
      <c r="F247" s="131" t="s">
        <v>33</v>
      </c>
      <c r="G247" s="131" t="s">
        <v>34</v>
      </c>
      <c r="H247" s="132" t="s">
        <v>35</v>
      </c>
      <c r="I247" s="131" t="s">
        <v>33</v>
      </c>
      <c r="J247" s="131" t="s">
        <v>34</v>
      </c>
      <c r="K247" s="132" t="s">
        <v>35</v>
      </c>
      <c r="L247" s="131" t="s">
        <v>33</v>
      </c>
      <c r="M247" s="131" t="s">
        <v>34</v>
      </c>
      <c r="N247" s="132" t="s">
        <v>35</v>
      </c>
      <c r="O247" s="131" t="s">
        <v>33</v>
      </c>
      <c r="P247" s="131" t="s">
        <v>34</v>
      </c>
      <c r="Q247" s="132" t="s">
        <v>35</v>
      </c>
      <c r="R247" s="131" t="s">
        <v>33</v>
      </c>
      <c r="S247" s="131" t="s">
        <v>34</v>
      </c>
      <c r="T247" s="132" t="s">
        <v>35</v>
      </c>
      <c r="U247" s="131" t="s">
        <v>33</v>
      </c>
      <c r="V247" s="131" t="s">
        <v>34</v>
      </c>
      <c r="W247" s="132" t="s">
        <v>35</v>
      </c>
      <c r="X247" s="157"/>
      <c r="Y247" s="520"/>
      <c r="Z247" s="522"/>
    </row>
    <row r="248" spans="2:39" ht="12.75" customHeight="1" x14ac:dyDescent="0.3">
      <c r="B248" s="133">
        <v>1</v>
      </c>
      <c r="C248" s="142" t="s">
        <v>570</v>
      </c>
      <c r="D248" s="227">
        <v>6</v>
      </c>
      <c r="E248" s="137"/>
      <c r="F248" s="135">
        <f>IFERROR(VLOOKUP(C248,'01_RS ALCARRIA'!$D$41:$M$45,10, FALSE), " ")</f>
        <v>25</v>
      </c>
      <c r="G248" s="284">
        <f>IFERROR(VLOOKUP(C248,'01_RS ALCARRIA'!$D$41:$O$45,12, FALSE), " ")/2</f>
        <v>5</v>
      </c>
      <c r="H248" s="138">
        <f>(F248+G248)*2</f>
        <v>60</v>
      </c>
      <c r="I248" s="135">
        <f>IFERROR(VLOOKUP(C248,'02_TCT GUADAMUR'!$D$41:$M$45,10, FALSE), " ")</f>
        <v>25</v>
      </c>
      <c r="J248" s="135">
        <f>IFERROR(VLOOKUP(C248,'02_TCT GUADAMUR'!$D$41:$O$45,12, FALSE), " ")</f>
        <v>10</v>
      </c>
      <c r="K248" s="138">
        <f>(I248+J248)</f>
        <v>35</v>
      </c>
      <c r="L248" s="135">
        <f>IFERROR(VLOOKUP(C248,'03_TCT MAQUEDA'!$D$41:$M$45,10, FALSE), " ")</f>
        <v>25</v>
      </c>
      <c r="M248" s="135">
        <f>IFERROR(VLOOKUP(C248,'03_TCT MAQUEDA'!$D$41:$O$45,12, FALSE), " ")</f>
        <v>10</v>
      </c>
      <c r="N248" s="138">
        <f>(L248+M248)</f>
        <v>35</v>
      </c>
      <c r="O248" s="135" t="str">
        <f>IFERROR(VLOOKUP(C248,'04_RALLYE CAM'!$D$41:$M$44,10,FALSE),"")</f>
        <v/>
      </c>
      <c r="P248" s="135" t="str">
        <f>IFERROR(VLOOKUP(C248,'04_RALLYE CAM'!$D$41:$O$44,12,FALSE),"")</f>
        <v/>
      </c>
      <c r="Q248" s="138" t="e">
        <f>(O248+P248)*3</f>
        <v>#VALUE!</v>
      </c>
      <c r="R248" s="135" t="str">
        <f>IFERROR(VLOOKUP(C248,'05_RS NAVALCARNERO'!$D$32:$M$34,10,FALSE),"")</f>
        <v/>
      </c>
      <c r="S248" s="135" t="str">
        <f>IFERROR(VLOOKUP(C248,'05_RS NAVALCARNERO'!$D$32:$O$34,12,FALSE),"")</f>
        <v/>
      </c>
      <c r="T248" s="138" t="e">
        <f>(R248+S248)*2</f>
        <v>#VALUE!</v>
      </c>
      <c r="U248" s="135" t="str">
        <f>IFERROR(VLOOKUP(C248,'06_TCT NUEVO BAZTÁN'!$D$32:$M$34,10,FALSE),"")</f>
        <v/>
      </c>
      <c r="V248" s="135" t="str">
        <f>IFERROR(VLOOKUP(C248,'06_TCT NUEVO BAZTÁN'!$D$32:$O$34,12,FALSE),"")</f>
        <v/>
      </c>
      <c r="W248" s="138" t="e">
        <f>(U248+V248)</f>
        <v>#VALUE!</v>
      </c>
      <c r="X248" s="139" t="e">
        <f>H248+K248+N248+Q248+T248+W248</f>
        <v>#VALUE!</v>
      </c>
      <c r="Y248" s="140" t="str">
        <f>IF(Z248&gt;=3,"Sí","No")</f>
        <v>Sí</v>
      </c>
      <c r="Z248" s="141">
        <f>COUNTA(H248,K248,N248,Q248,T248,W248)</f>
        <v>6</v>
      </c>
    </row>
    <row r="249" spans="2:39" ht="12.75" customHeight="1" x14ac:dyDescent="0.3">
      <c r="B249" s="133">
        <v>2</v>
      </c>
      <c r="C249" s="142" t="s">
        <v>571</v>
      </c>
      <c r="D249" s="227">
        <v>6</v>
      </c>
      <c r="E249" s="137"/>
      <c r="F249" s="135">
        <f>IFERROR(VLOOKUP(C249,'01_RS ALCARRIA'!$D$41:$M$45,10, FALSE), " ")</f>
        <v>20</v>
      </c>
      <c r="G249" s="284">
        <f>IFERROR(VLOOKUP(C249,'01_RS ALCARRIA'!$D$41:$O$45,12, FALSE), " ")/2</f>
        <v>4</v>
      </c>
      <c r="H249" s="138">
        <f t="shared" ref="H249:H251" si="245">(F249+G249)*2</f>
        <v>48</v>
      </c>
      <c r="I249" s="135">
        <f>IFERROR(VLOOKUP(C249,'02_TCT GUADAMUR'!$D$41:$M$45,10, FALSE), " ")</f>
        <v>15</v>
      </c>
      <c r="J249" s="135">
        <f>IFERROR(VLOOKUP(C249,'02_TCT GUADAMUR'!$D$41:$O$45,12, FALSE), " ")</f>
        <v>5</v>
      </c>
      <c r="K249" s="138">
        <f t="shared" ref="K249:K251" si="246">(I249+J249)</f>
        <v>20</v>
      </c>
      <c r="L249" s="135">
        <v>0</v>
      </c>
      <c r="M249" s="135">
        <v>0</v>
      </c>
      <c r="N249" s="138">
        <f t="shared" ref="N249:N251" si="247">(L249+M249)</f>
        <v>0</v>
      </c>
      <c r="O249" s="135" t="str">
        <f>IFERROR(VLOOKUP(C249,'04_RALLYE CAM'!$D$41:$M$44,10,FALSE),"")</f>
        <v/>
      </c>
      <c r="P249" s="135" t="str">
        <f>IFERROR(VLOOKUP(C249,'04_RALLYE CAM'!$D$41:$O$44,12,FALSE),"")</f>
        <v/>
      </c>
      <c r="Q249" s="138" t="e">
        <f t="shared" ref="Q249:Q251" si="248">(O249+P249)*3</f>
        <v>#VALUE!</v>
      </c>
      <c r="R249" s="135" t="str">
        <f>IFERROR(VLOOKUP(C249,'05_RS NAVALCARNERO'!$D$32:$M$34,10,FALSE),"")</f>
        <v/>
      </c>
      <c r="S249" s="135" t="str">
        <f>IFERROR(VLOOKUP(C249,'05_RS NAVALCARNERO'!$D$32:$O$34,12,FALSE),"")</f>
        <v/>
      </c>
      <c r="T249" s="138" t="e">
        <f t="shared" ref="T249:T251" si="249">(R249+S249)*2</f>
        <v>#VALUE!</v>
      </c>
      <c r="U249" s="135" t="str">
        <f>IFERROR(VLOOKUP(C249,'06_TCT NUEVO BAZTÁN'!$D$32:$M$34,10,FALSE),"")</f>
        <v/>
      </c>
      <c r="V249" s="135" t="str">
        <f>IFERROR(VLOOKUP(C249,'06_TCT NUEVO BAZTÁN'!$D$32:$O$34,12,FALSE),"")</f>
        <v/>
      </c>
      <c r="W249" s="138" t="e">
        <f t="shared" ref="W249:W251" si="250">(U249+V249)</f>
        <v>#VALUE!</v>
      </c>
      <c r="X249" s="139" t="e">
        <f t="shared" ref="X249:X251" si="251">H249+K249+N249+Q249+T249+W249</f>
        <v>#VALUE!</v>
      </c>
      <c r="Y249" s="140" t="str">
        <f>IF(Z249&gt;=3,"Sí","No")</f>
        <v>Sí</v>
      </c>
      <c r="Z249" s="141">
        <f t="shared" ref="Z249:Z251" si="252">COUNTA(H249,K249,N249,Q249,T249,W249)</f>
        <v>6</v>
      </c>
    </row>
    <row r="250" spans="2:39" ht="12.75" customHeight="1" x14ac:dyDescent="0.3">
      <c r="B250" s="133">
        <v>3</v>
      </c>
      <c r="C250" s="142" t="s">
        <v>687</v>
      </c>
      <c r="D250" s="227">
        <v>6</v>
      </c>
      <c r="E250" s="137"/>
      <c r="F250" s="135" t="str">
        <f>IFERROR(VLOOKUP(C250,'01_RS ALCARRIA'!$D$41:$M$45,10, FALSE), " ")</f>
        <v xml:space="preserve"> </v>
      </c>
      <c r="G250" s="135" t="str">
        <f>IFERROR(VLOOKUP(C250,'01_RS ALCARRIA'!$D$41:$O$45,12, FALSE), " ")</f>
        <v xml:space="preserve"> </v>
      </c>
      <c r="H250" s="138" t="e">
        <f t="shared" si="245"/>
        <v>#VALUE!</v>
      </c>
      <c r="I250" s="135">
        <f>IFERROR(VLOOKUP(C250,'02_TCT GUADAMUR'!$D$41:$M$45,10, FALSE), " ")</f>
        <v>20</v>
      </c>
      <c r="J250" s="135">
        <f>IFERROR(VLOOKUP(C250,'02_TCT GUADAMUR'!$D$41:$O$45,12, FALSE), " ")</f>
        <v>8</v>
      </c>
      <c r="K250" s="138">
        <f t="shared" si="246"/>
        <v>28</v>
      </c>
      <c r="L250" s="135">
        <f>IFERROR(VLOOKUP(C250,'03_TCT MAQUEDA'!$D$41:$M$45,10, FALSE), " ")</f>
        <v>20</v>
      </c>
      <c r="M250" s="135">
        <f>IFERROR(VLOOKUP(C250,'03_TCT MAQUEDA'!$D$41:$O$45,12, FALSE), " ")</f>
        <v>8</v>
      </c>
      <c r="N250" s="138">
        <f t="shared" si="247"/>
        <v>28</v>
      </c>
      <c r="O250" s="135" t="str">
        <f>IFERROR(VLOOKUP(C250,'04_RALLYE CAM'!$D$41:$M$44,10,FALSE),"")</f>
        <v/>
      </c>
      <c r="P250" s="135" t="str">
        <f>IFERROR(VLOOKUP(C250,'04_RALLYE CAM'!$D$41:$O$44,12,FALSE),"")</f>
        <v/>
      </c>
      <c r="Q250" s="138" t="e">
        <f t="shared" si="248"/>
        <v>#VALUE!</v>
      </c>
      <c r="R250" s="135" t="str">
        <f>IFERROR(VLOOKUP(C250,'05_RS NAVALCARNERO'!$D$32:$M$34,10,FALSE),"")</f>
        <v/>
      </c>
      <c r="S250" s="135" t="str">
        <f>IFERROR(VLOOKUP(C250,'05_RS NAVALCARNERO'!$D$32:$O$34,12,FALSE),"")</f>
        <v/>
      </c>
      <c r="T250" s="138" t="e">
        <f t="shared" si="249"/>
        <v>#VALUE!</v>
      </c>
      <c r="U250" s="135" t="str">
        <f>IFERROR(VLOOKUP(C250,'06_TCT NUEVO BAZTÁN'!$D$32:$M$34,10,FALSE),"")</f>
        <v/>
      </c>
      <c r="V250" s="135" t="str">
        <f>IFERROR(VLOOKUP(C250,'06_TCT NUEVO BAZTÁN'!$D$32:$O$34,12,FALSE),"")</f>
        <v/>
      </c>
      <c r="W250" s="138" t="e">
        <f t="shared" si="250"/>
        <v>#VALUE!</v>
      </c>
      <c r="X250" s="139" t="e">
        <f t="shared" si="251"/>
        <v>#VALUE!</v>
      </c>
      <c r="Y250" s="140" t="str">
        <f>IF(Z250&gt;=3,"Sí","No")</f>
        <v>Sí</v>
      </c>
      <c r="Z250" s="141">
        <f t="shared" si="252"/>
        <v>6</v>
      </c>
    </row>
    <row r="251" spans="2:39" ht="12.75" customHeight="1" x14ac:dyDescent="0.3">
      <c r="B251" s="133">
        <v>4</v>
      </c>
      <c r="C251" s="142" t="s">
        <v>689</v>
      </c>
      <c r="D251" s="227">
        <v>6</v>
      </c>
      <c r="E251" s="137"/>
      <c r="F251" s="135" t="str">
        <f>IFERROR(VLOOKUP(C251,'01_RS ALCARRIA'!$D$41:$M$45,10, FALSE), " ")</f>
        <v xml:space="preserve"> </v>
      </c>
      <c r="G251" s="135" t="str">
        <f>IFERROR(VLOOKUP(C251,'01_RS ALCARRIA'!$D$41:$O$45,12, FALSE), " ")</f>
        <v xml:space="preserve"> </v>
      </c>
      <c r="H251" s="138" t="e">
        <f t="shared" si="245"/>
        <v>#VALUE!</v>
      </c>
      <c r="I251" s="135">
        <f>IFERROR(VLOOKUP(C251,'02_TCT GUADAMUR'!$D$41:$M$45,10, FALSE), " ")</f>
        <v>17</v>
      </c>
      <c r="J251" s="135">
        <f>IFERROR(VLOOKUP(C251,'02_TCT GUADAMUR'!$D$41:$O$45,12, FALSE), " ")</f>
        <v>6</v>
      </c>
      <c r="K251" s="138">
        <f t="shared" si="246"/>
        <v>23</v>
      </c>
      <c r="L251" s="135" t="str">
        <f>IFERROR(VLOOKUP(C251,'03_TCT MAQUEDA'!$D$41:$M$45,10, FALSE), " ")</f>
        <v xml:space="preserve"> </v>
      </c>
      <c r="M251" s="135" t="str">
        <f>IFERROR(VLOOKUP(C251,'03_TCT MAQUEDA'!$D$41:$O$45,12, FALSE), " ")</f>
        <v xml:space="preserve"> </v>
      </c>
      <c r="N251" s="138" t="e">
        <f t="shared" si="247"/>
        <v>#VALUE!</v>
      </c>
      <c r="O251" s="135" t="str">
        <f>IFERROR(VLOOKUP(C251,'04_RALLYE CAM'!$D$41:$M$44,10,FALSE),"")</f>
        <v/>
      </c>
      <c r="P251" s="135" t="str">
        <f>IFERROR(VLOOKUP(C251,'04_RALLYE CAM'!$D$41:$O$44,12,FALSE),"")</f>
        <v/>
      </c>
      <c r="Q251" s="138" t="e">
        <f t="shared" si="248"/>
        <v>#VALUE!</v>
      </c>
      <c r="R251" s="135" t="str">
        <f>IFERROR(VLOOKUP(C251,'05_RS NAVALCARNERO'!$D$32:$M$34,10,FALSE),"")</f>
        <v/>
      </c>
      <c r="S251" s="135" t="str">
        <f>IFERROR(VLOOKUP(C251,'05_RS NAVALCARNERO'!$D$32:$O$34,12,FALSE),"")</f>
        <v/>
      </c>
      <c r="T251" s="138" t="e">
        <f t="shared" si="249"/>
        <v>#VALUE!</v>
      </c>
      <c r="U251" s="135" t="str">
        <f>IFERROR(VLOOKUP(C251,'06_TCT NUEVO BAZTÁN'!$D$32:$M$34,10,FALSE),"")</f>
        <v/>
      </c>
      <c r="V251" s="135" t="str">
        <f>IFERROR(VLOOKUP(C251,'06_TCT NUEVO BAZTÁN'!$D$32:$O$34,12,FALSE),"")</f>
        <v/>
      </c>
      <c r="W251" s="138" t="e">
        <f t="shared" si="250"/>
        <v>#VALUE!</v>
      </c>
      <c r="X251" s="139" t="e">
        <f t="shared" si="251"/>
        <v>#VALUE!</v>
      </c>
      <c r="Y251" s="140" t="str">
        <f>IF(Z251&gt;=3,"Sí","No")</f>
        <v>Sí</v>
      </c>
      <c r="Z251" s="141">
        <f t="shared" si="252"/>
        <v>6</v>
      </c>
    </row>
    <row r="252" spans="2:39" ht="12" x14ac:dyDescent="0.3">
      <c r="B252" s="155"/>
      <c r="C252" s="155"/>
      <c r="D252" s="155"/>
      <c r="E252" s="155"/>
      <c r="F252" s="155"/>
      <c r="G252" s="155"/>
      <c r="H252" s="155"/>
      <c r="I252" s="155"/>
      <c r="J252" s="155"/>
      <c r="K252" s="155"/>
      <c r="L252" s="155"/>
      <c r="M252" s="155"/>
      <c r="N252" s="155"/>
      <c r="O252" s="155"/>
      <c r="P252" s="155"/>
      <c r="Q252" s="155"/>
      <c r="R252" s="155"/>
      <c r="S252" s="155"/>
      <c r="T252" s="155"/>
      <c r="U252" s="155"/>
      <c r="V252" s="155"/>
      <c r="W252" s="155"/>
      <c r="X252" s="155"/>
      <c r="Y252" s="149"/>
    </row>
    <row r="253" spans="2:39" ht="12.75" customHeight="1" x14ac:dyDescent="0.3">
      <c r="B253" s="1"/>
      <c r="C253" s="235"/>
      <c r="D253" s="284"/>
      <c r="E253" s="285" t="s">
        <v>534</v>
      </c>
      <c r="F253" s="147"/>
      <c r="G253" s="147"/>
      <c r="H253" s="147"/>
      <c r="I253" s="147"/>
      <c r="J253" s="147"/>
      <c r="K253" s="147"/>
      <c r="L253" s="147"/>
      <c r="M253" s="147"/>
      <c r="N253" s="147"/>
      <c r="O253" s="147"/>
      <c r="P253" s="147"/>
      <c r="Q253" s="147"/>
      <c r="R253" s="147"/>
      <c r="S253" s="147"/>
      <c r="T253" s="147"/>
      <c r="U253" s="147"/>
      <c r="V253" s="147"/>
      <c r="W253" s="147"/>
      <c r="X253" s="147"/>
      <c r="Y253" s="147"/>
      <c r="Z253" s="147"/>
      <c r="AA253" s="148"/>
      <c r="AB253" s="262"/>
    </row>
    <row r="254" spans="2:39" ht="12" x14ac:dyDescent="0.3">
      <c r="B254" s="155"/>
      <c r="C254" s="155"/>
      <c r="D254" s="155"/>
      <c r="E254" s="155"/>
      <c r="F254" s="155"/>
      <c r="G254" s="155"/>
      <c r="H254" s="155"/>
      <c r="I254" s="155"/>
      <c r="J254" s="155"/>
      <c r="K254" s="155"/>
      <c r="L254" s="155"/>
      <c r="M254" s="155"/>
      <c r="N254" s="155"/>
      <c r="O254" s="155"/>
      <c r="P254" s="155"/>
      <c r="Q254" s="155"/>
      <c r="R254" s="155"/>
      <c r="S254" s="155"/>
      <c r="T254" s="155"/>
      <c r="U254" s="155"/>
      <c r="V254" s="155"/>
      <c r="W254" s="155"/>
      <c r="X254" s="155"/>
    </row>
    <row r="255" spans="2:39" ht="39" customHeight="1" x14ac:dyDescent="0.55000000000000004">
      <c r="B255" s="164" t="s">
        <v>517</v>
      </c>
      <c r="C255" s="165"/>
      <c r="D255" s="165"/>
      <c r="E255" s="165"/>
      <c r="F255" s="165"/>
      <c r="G255" s="165"/>
      <c r="H255" s="165"/>
      <c r="I255" s="165"/>
      <c r="J255" s="165"/>
      <c r="K255" s="165"/>
      <c r="L255" s="165"/>
      <c r="M255" s="165"/>
      <c r="N255" s="165"/>
      <c r="O255" s="165"/>
      <c r="P255" s="165"/>
      <c r="Q255" s="165"/>
      <c r="R255" s="165"/>
      <c r="S255" s="165"/>
      <c r="T255" s="165"/>
      <c r="U255" s="165"/>
      <c r="V255" s="165"/>
      <c r="W255" s="165"/>
      <c r="X255" s="165"/>
    </row>
    <row r="256" spans="2:39" ht="37.5" customHeight="1" x14ac:dyDescent="0.3">
      <c r="B256" s="166" t="s">
        <v>338</v>
      </c>
      <c r="C256" s="167"/>
      <c r="D256" s="167"/>
      <c r="E256" s="167"/>
      <c r="F256" s="167"/>
      <c r="G256" s="167"/>
      <c r="H256" s="167"/>
      <c r="I256" s="167"/>
      <c r="J256" s="167"/>
      <c r="K256" s="167"/>
      <c r="L256" s="167"/>
      <c r="M256" s="167"/>
      <c r="N256" s="167"/>
      <c r="O256" s="167"/>
      <c r="P256" s="167"/>
      <c r="Q256" s="167"/>
      <c r="R256" s="167"/>
      <c r="S256" s="167"/>
      <c r="T256" s="167"/>
      <c r="U256" s="167"/>
      <c r="V256" s="167"/>
      <c r="W256" s="167"/>
      <c r="X256" s="167"/>
      <c r="Y256" s="30"/>
      <c r="Z256" s="30"/>
    </row>
    <row r="257" spans="2:28" ht="12.75" customHeight="1" x14ac:dyDescent="0.3">
      <c r="B257" s="162"/>
      <c r="C257" s="168"/>
      <c r="D257" s="161"/>
      <c r="E257" s="161"/>
      <c r="F257" s="222" t="s">
        <v>220</v>
      </c>
      <c r="G257" s="223"/>
      <c r="H257" s="224"/>
      <c r="I257" s="222" t="s">
        <v>663</v>
      </c>
      <c r="J257" s="225"/>
      <c r="K257" s="226"/>
      <c r="L257" s="222" t="s">
        <v>532</v>
      </c>
      <c r="M257" s="225"/>
      <c r="N257" s="226"/>
      <c r="O257" s="222" t="s">
        <v>526</v>
      </c>
      <c r="P257" s="225"/>
      <c r="Q257" s="226"/>
      <c r="R257" s="222" t="s">
        <v>287</v>
      </c>
      <c r="S257" s="225"/>
      <c r="T257" s="226"/>
      <c r="U257" s="413" t="s">
        <v>527</v>
      </c>
      <c r="V257" s="226"/>
      <c r="W257" s="226"/>
      <c r="X257" s="161" t="s">
        <v>213</v>
      </c>
      <c r="Y257" s="30"/>
      <c r="Z257" s="30"/>
    </row>
    <row r="258" spans="2:28" ht="12.75" customHeight="1" x14ac:dyDescent="0.3">
      <c r="B258" s="159" t="s">
        <v>0</v>
      </c>
      <c r="C258" s="170" t="s">
        <v>166</v>
      </c>
      <c r="D258" s="160" t="s">
        <v>2</v>
      </c>
      <c r="E258" s="160" t="s">
        <v>3</v>
      </c>
      <c r="F258" s="217" t="s">
        <v>523</v>
      </c>
      <c r="G258" s="218"/>
      <c r="H258" s="219"/>
      <c r="I258" s="217" t="s">
        <v>525</v>
      </c>
      <c r="J258" s="220"/>
      <c r="K258" s="221"/>
      <c r="L258" s="217" t="s">
        <v>664</v>
      </c>
      <c r="M258" s="220"/>
      <c r="N258" s="221"/>
      <c r="O258" s="217" t="s">
        <v>529</v>
      </c>
      <c r="P258" s="220"/>
      <c r="Q258" s="221"/>
      <c r="R258" s="217" t="s">
        <v>530</v>
      </c>
      <c r="S258" s="220"/>
      <c r="T258" s="221"/>
      <c r="U258" s="414" t="s">
        <v>528</v>
      </c>
      <c r="V258" s="255"/>
      <c r="W258" s="415"/>
      <c r="X258" s="160" t="s">
        <v>9</v>
      </c>
      <c r="Y258" s="519" t="s">
        <v>223</v>
      </c>
      <c r="Z258" s="521" t="s">
        <v>4</v>
      </c>
    </row>
    <row r="259" spans="2:28" ht="12.75" customHeight="1" x14ac:dyDescent="0.3">
      <c r="B259" s="163"/>
      <c r="C259" s="169"/>
      <c r="D259" s="157"/>
      <c r="E259" s="157"/>
      <c r="F259" s="131" t="s">
        <v>33</v>
      </c>
      <c r="G259" s="131" t="s">
        <v>34</v>
      </c>
      <c r="H259" s="132" t="s">
        <v>35</v>
      </c>
      <c r="I259" s="131" t="s">
        <v>33</v>
      </c>
      <c r="J259" s="131" t="s">
        <v>34</v>
      </c>
      <c r="K259" s="132" t="s">
        <v>35</v>
      </c>
      <c r="L259" s="131" t="s">
        <v>33</v>
      </c>
      <c r="M259" s="131" t="s">
        <v>34</v>
      </c>
      <c r="N259" s="132" t="s">
        <v>35</v>
      </c>
      <c r="O259" s="131" t="s">
        <v>33</v>
      </c>
      <c r="P259" s="131" t="s">
        <v>34</v>
      </c>
      <c r="Q259" s="132" t="s">
        <v>35</v>
      </c>
      <c r="R259" s="131" t="s">
        <v>33</v>
      </c>
      <c r="S259" s="131" t="s">
        <v>34</v>
      </c>
      <c r="T259" s="132" t="s">
        <v>35</v>
      </c>
      <c r="U259" s="131" t="s">
        <v>33</v>
      </c>
      <c r="V259" s="131" t="s">
        <v>34</v>
      </c>
      <c r="W259" s="132" t="s">
        <v>35</v>
      </c>
      <c r="X259" s="157"/>
      <c r="Y259" s="520"/>
      <c r="Z259" s="522"/>
    </row>
    <row r="260" spans="2:28" ht="12.75" customHeight="1" x14ac:dyDescent="0.3">
      <c r="B260" s="133">
        <v>1</v>
      </c>
      <c r="C260" s="151" t="s">
        <v>572</v>
      </c>
      <c r="D260" s="227">
        <v>6</v>
      </c>
      <c r="E260" s="136"/>
      <c r="F260" s="135">
        <f>IFERROR(VLOOKUP(C260,'01_RS ALCARRIA'!$F$41:$R$45,13,FALSE),"")</f>
        <v>25</v>
      </c>
      <c r="G260" s="284">
        <f>IFERROR(VLOOKUP(C260,'01_RS ALCARRIA'!$F$41:$T$45,15,FALSE),"")/2</f>
        <v>5</v>
      </c>
      <c r="H260" s="138">
        <f>(F260+G260)*2</f>
        <v>60</v>
      </c>
      <c r="I260" s="135">
        <f>IFERROR(VLOOKUP(C260,'02_TCT GUADAMUR'!$F$41:$R$45,13,FALSE),"")</f>
        <v>25</v>
      </c>
      <c r="J260" s="135">
        <f>IFERROR(VLOOKUP(C260,'02_TCT GUADAMUR'!$F$41:$T$45,15,FALSE),"")</f>
        <v>10</v>
      </c>
      <c r="K260" s="138">
        <f>(I260+J260)</f>
        <v>35</v>
      </c>
      <c r="L260" s="135">
        <f>IFERROR(VLOOKUP(C260,'03_TCT MAQUEDA'!$F$41:$R$45,13,FALSE),"")</f>
        <v>25</v>
      </c>
      <c r="M260" s="135">
        <f>IFERROR(VLOOKUP(C260,'03_TCT MAQUEDA'!$F$41:$T$45,15,FALSE),"")</f>
        <v>10</v>
      </c>
      <c r="N260" s="138">
        <f>(L260+M260)</f>
        <v>35</v>
      </c>
      <c r="O260" s="135" t="str">
        <f>IFERROR(VLOOKUP(C260,'04_RALLYE CAM'!$F$41:$R$45,13,FALSE),"")</f>
        <v/>
      </c>
      <c r="P260" s="135" t="str">
        <f>IFERROR(VLOOKUP(C260,'04_RALLYE CAM'!$F$41:$T$45,15,FALSE),"")</f>
        <v/>
      </c>
      <c r="Q260" s="138" t="e">
        <f>(O260+P260)*3</f>
        <v>#VALUE!</v>
      </c>
      <c r="R260" s="135" t="str">
        <f>IFERROR(VLOOKUP(C260,'05_RS NAVALCARNERO'!$F$32:$R$34,13,FALSE),"")</f>
        <v/>
      </c>
      <c r="S260" s="451" t="str">
        <f>IFERROR(VLOOKUP(C260,'05_RS NAVALCARNERO'!$F$32:$T$34,15,FALSE),"")</f>
        <v/>
      </c>
      <c r="T260" s="138" t="e">
        <f>(R260+S260)*2</f>
        <v>#VALUE!</v>
      </c>
      <c r="U260" s="135" t="str">
        <f>IFERROR(VLOOKUP(C260,'06_TCT NUEVO BAZTÁN'!$F$32:$R$34,13,FALSE),"")</f>
        <v/>
      </c>
      <c r="V260" s="451" t="str">
        <f>IFERROR(VLOOKUP(C260,'06_TCT NUEVO BAZTÁN'!$F$32:$T$34,15,FALSE),"")</f>
        <v/>
      </c>
      <c r="W260" s="138" t="e">
        <f>(U260+V260)</f>
        <v>#VALUE!</v>
      </c>
      <c r="X260" s="139" t="e">
        <f>H260+K260+N260+Q260+T260+W260</f>
        <v>#VALUE!</v>
      </c>
      <c r="Y260" s="140" t="str">
        <f t="shared" ref="Y260:Y266" si="253">IF(Z260&gt;=2,"Sí","No")</f>
        <v>Sí</v>
      </c>
      <c r="Z260" s="141">
        <f>COUNTA(H260,K260,N260,Q260,T260,W260)</f>
        <v>6</v>
      </c>
    </row>
    <row r="261" spans="2:28" ht="12.75" customHeight="1" x14ac:dyDescent="0.3">
      <c r="B261" s="133">
        <v>2</v>
      </c>
      <c r="C261" s="151" t="s">
        <v>573</v>
      </c>
      <c r="D261" s="227">
        <v>6</v>
      </c>
      <c r="E261" s="135"/>
      <c r="F261" s="135">
        <f>IFERROR(VLOOKUP(C261,'01_RS ALCARRIA'!$F$41:$R$45,13,FALSE),"")</f>
        <v>20</v>
      </c>
      <c r="G261" s="284">
        <f>IFERROR(VLOOKUP(C261,'01_RS ALCARRIA'!$F$41:$T$45,15,FALSE),"")/2</f>
        <v>4</v>
      </c>
      <c r="H261" s="138">
        <f t="shared" ref="H261:H266" si="254">(F261+G261)*2</f>
        <v>48</v>
      </c>
      <c r="I261" s="135">
        <f>IFERROR(VLOOKUP(C261,'02_TCT GUADAMUR'!$F$41:$R$45,13,FALSE),"")</f>
        <v>15</v>
      </c>
      <c r="J261" s="135">
        <f>IFERROR(VLOOKUP(C261,'02_TCT GUADAMUR'!$F$41:$T$45,15,FALSE),"")</f>
        <v>5</v>
      </c>
      <c r="K261" s="138">
        <f t="shared" ref="K261:K266" si="255">(I261+J261)</f>
        <v>20</v>
      </c>
      <c r="L261" s="135">
        <v>0</v>
      </c>
      <c r="M261" s="135">
        <v>0</v>
      </c>
      <c r="N261" s="138">
        <f t="shared" ref="N261:N266" si="256">(L261+M261)</f>
        <v>0</v>
      </c>
      <c r="O261" s="135" t="str">
        <f>IFERROR(VLOOKUP(C261,'04_RALLYE CAM'!$F$41:$R$45,13,FALSE),"")</f>
        <v/>
      </c>
      <c r="P261" s="135" t="str">
        <f>IFERROR(VLOOKUP(C261,'04_RALLYE CAM'!$F$41:$T$45,15,FALSE),"")</f>
        <v/>
      </c>
      <c r="Q261" s="138" t="e">
        <f t="shared" ref="Q261:Q266" si="257">(O261+P261)*3</f>
        <v>#VALUE!</v>
      </c>
      <c r="R261" s="135" t="str">
        <f>IFERROR(VLOOKUP(C261,'05_RS NAVALCARNERO'!$F$32:$R$34,13,FALSE),"")</f>
        <v/>
      </c>
      <c r="S261" s="451" t="str">
        <f>IFERROR(VLOOKUP(C261,'05_RS NAVALCARNERO'!$F$32:$T$34,15,FALSE),"")</f>
        <v/>
      </c>
      <c r="T261" s="138" t="e">
        <f t="shared" ref="T261:T266" si="258">(R261+S261)*2</f>
        <v>#VALUE!</v>
      </c>
      <c r="U261" s="135" t="str">
        <f>IFERROR(VLOOKUP(C261,'06_TCT NUEVO BAZTÁN'!$F$32:$R$34,13,FALSE),"")</f>
        <v/>
      </c>
      <c r="V261" s="451" t="str">
        <f>IFERROR(VLOOKUP(C261,'06_TCT NUEVO BAZTÁN'!$F$32:$T$34,15,FALSE),"")</f>
        <v/>
      </c>
      <c r="W261" s="138" t="e">
        <f t="shared" ref="W261:W266" si="259">(U261+V261)</f>
        <v>#VALUE!</v>
      </c>
      <c r="X261" s="139" t="e">
        <f t="shared" ref="X261:X266" si="260">H261+K261+N261+Q261+T261+W261</f>
        <v>#VALUE!</v>
      </c>
      <c r="Y261" s="140" t="str">
        <f t="shared" si="253"/>
        <v>Sí</v>
      </c>
      <c r="Z261" s="141">
        <f t="shared" ref="Z261:Z266" si="261">COUNTA(H261,K261,N261,Q261,T261,W261)</f>
        <v>6</v>
      </c>
    </row>
    <row r="262" spans="2:28" ht="12.75" customHeight="1" x14ac:dyDescent="0.3">
      <c r="B262" s="133">
        <v>3</v>
      </c>
      <c r="C262" s="151" t="s">
        <v>688</v>
      </c>
      <c r="D262" s="227">
        <v>6</v>
      </c>
      <c r="E262" s="135"/>
      <c r="F262" s="135" t="str">
        <f>IFERROR(VLOOKUP(C262,'01_RS ALCARRIA'!$F$41:$R$45,13,FALSE),"")</f>
        <v/>
      </c>
      <c r="G262" s="135" t="str">
        <f>IFERROR(VLOOKUP(C262,'01_RS ALCARRIA'!$F$41:$T$45,15,FALSE),"")</f>
        <v/>
      </c>
      <c r="H262" s="138" t="e">
        <f t="shared" si="254"/>
        <v>#VALUE!</v>
      </c>
      <c r="I262" s="135">
        <f>IFERROR(VLOOKUP(C262,'02_TCT GUADAMUR'!$F$41:$R$45,13,FALSE),"")</f>
        <v>20</v>
      </c>
      <c r="J262" s="135">
        <f>IFERROR(VLOOKUP(C262,'02_TCT GUADAMUR'!$F$41:$T$45,15,FALSE),"")</f>
        <v>8</v>
      </c>
      <c r="K262" s="138">
        <f t="shared" si="255"/>
        <v>28</v>
      </c>
      <c r="L262" s="135">
        <f>IFERROR(VLOOKUP(C262,'03_TCT MAQUEDA'!$F$41:$R$45,13,FALSE),"")</f>
        <v>20</v>
      </c>
      <c r="M262" s="135">
        <f>IFERROR(VLOOKUP(C262,'03_TCT MAQUEDA'!$F$41:$T$45,15,FALSE),"")</f>
        <v>8</v>
      </c>
      <c r="N262" s="138">
        <f t="shared" si="256"/>
        <v>28</v>
      </c>
      <c r="O262" s="135" t="str">
        <f>IFERROR(VLOOKUP(C262,'04_RALLYE CAM'!$F$41:$R$45,13,FALSE),"")</f>
        <v/>
      </c>
      <c r="P262" s="135" t="str">
        <f>IFERROR(VLOOKUP(C262,'04_RALLYE CAM'!$F$41:$T$45,15,FALSE),"")</f>
        <v/>
      </c>
      <c r="Q262" s="138" t="e">
        <f t="shared" si="257"/>
        <v>#VALUE!</v>
      </c>
      <c r="R262" s="135" t="str">
        <f>IFERROR(VLOOKUP(C262,'05_RS NAVALCARNERO'!$F$32:$R$34,13,FALSE),"")</f>
        <v/>
      </c>
      <c r="S262" s="451" t="str">
        <f>IFERROR(VLOOKUP(C262,'05_RS NAVALCARNERO'!$F$32:$T$34,15,FALSE),"")</f>
        <v/>
      </c>
      <c r="T262" s="138" t="e">
        <f t="shared" si="258"/>
        <v>#VALUE!</v>
      </c>
      <c r="U262" s="135" t="str">
        <f>IFERROR(VLOOKUP(C262,'06_TCT NUEVO BAZTÁN'!$F$32:$R$34,13,FALSE),"")</f>
        <v/>
      </c>
      <c r="V262" s="451" t="str">
        <f>IFERROR(VLOOKUP(C262,'06_TCT NUEVO BAZTÁN'!$F$32:$T$34,15,FALSE),"")</f>
        <v/>
      </c>
      <c r="W262" s="138" t="e">
        <f t="shared" si="259"/>
        <v>#VALUE!</v>
      </c>
      <c r="X262" s="139" t="e">
        <f t="shared" si="260"/>
        <v>#VALUE!</v>
      </c>
      <c r="Y262" s="140" t="str">
        <f t="shared" si="253"/>
        <v>Sí</v>
      </c>
      <c r="Z262" s="141">
        <f t="shared" si="261"/>
        <v>6</v>
      </c>
    </row>
    <row r="263" spans="2:28" ht="12.75" customHeight="1" x14ac:dyDescent="0.3">
      <c r="B263" s="133">
        <v>4</v>
      </c>
      <c r="C263" s="151" t="s">
        <v>690</v>
      </c>
      <c r="D263" s="227">
        <v>6</v>
      </c>
      <c r="E263" s="135"/>
      <c r="F263" s="135" t="str">
        <f>IFERROR(VLOOKUP(C263,'01_RS ALCARRIA'!$F$41:$R$45,13,FALSE),"")</f>
        <v/>
      </c>
      <c r="G263" s="135" t="str">
        <f>IFERROR(VLOOKUP(C263,'01_RS ALCARRIA'!$F$41:$T$45,15,FALSE),"")</f>
        <v/>
      </c>
      <c r="H263" s="138" t="e">
        <f t="shared" si="254"/>
        <v>#VALUE!</v>
      </c>
      <c r="I263" s="135">
        <f>IFERROR(VLOOKUP(C263,'02_TCT GUADAMUR'!$F$41:$R$45,13,FALSE),"")</f>
        <v>17</v>
      </c>
      <c r="J263" s="135">
        <f>IFERROR(VLOOKUP(C263,'02_TCT GUADAMUR'!$F$41:$T$45,15,FALSE),"")</f>
        <v>6</v>
      </c>
      <c r="K263" s="138">
        <f t="shared" si="255"/>
        <v>23</v>
      </c>
      <c r="L263" s="135" t="str">
        <f>IFERROR(VLOOKUP(C263,'03_TCT MAQUEDA'!$F$41:$R$45,13,FALSE),"")</f>
        <v/>
      </c>
      <c r="M263" s="135" t="str">
        <f>IFERROR(VLOOKUP(C263,'03_TCT MAQUEDA'!$F$41:$T$45,15,FALSE),"")</f>
        <v/>
      </c>
      <c r="N263" s="138" t="e">
        <f t="shared" si="256"/>
        <v>#VALUE!</v>
      </c>
      <c r="O263" s="135" t="str">
        <f>IFERROR(VLOOKUP(C263,'04_RALLYE CAM'!$F$41:$R$45,13,FALSE),"")</f>
        <v/>
      </c>
      <c r="P263" s="135" t="str">
        <f>IFERROR(VLOOKUP(C263,'04_RALLYE CAM'!$F$41:$T$45,15,FALSE),"")</f>
        <v/>
      </c>
      <c r="Q263" s="138" t="e">
        <f t="shared" si="257"/>
        <v>#VALUE!</v>
      </c>
      <c r="R263" s="135" t="str">
        <f>IFERROR(VLOOKUP(C263,'05_RS NAVALCARNERO'!$F$32:$R$34,13,FALSE),"")</f>
        <v/>
      </c>
      <c r="S263" s="451" t="str">
        <f>IFERROR(VLOOKUP(C263,'05_RS NAVALCARNERO'!$F$32:$T$34,15,FALSE),"")</f>
        <v/>
      </c>
      <c r="T263" s="138" t="e">
        <f t="shared" si="258"/>
        <v>#VALUE!</v>
      </c>
      <c r="U263" s="135" t="str">
        <f>IFERROR(VLOOKUP(C263,'06_TCT NUEVO BAZTÁN'!$F$32:$R$34,13,FALSE),"")</f>
        <v/>
      </c>
      <c r="V263" s="451" t="str">
        <f>IFERROR(VLOOKUP(C263,'06_TCT NUEVO BAZTÁN'!$F$32:$T$34,15,FALSE),"")</f>
        <v/>
      </c>
      <c r="W263" s="138" t="e">
        <f t="shared" si="259"/>
        <v>#VALUE!</v>
      </c>
      <c r="X263" s="139" t="e">
        <f t="shared" si="260"/>
        <v>#VALUE!</v>
      </c>
      <c r="Y263" s="140" t="str">
        <f t="shared" si="253"/>
        <v>Sí</v>
      </c>
      <c r="Z263" s="141">
        <f t="shared" si="261"/>
        <v>6</v>
      </c>
    </row>
    <row r="264" spans="2:28" ht="12.75" customHeight="1" x14ac:dyDescent="0.3">
      <c r="B264" s="133">
        <v>5</v>
      </c>
      <c r="C264" s="151" t="s">
        <v>377</v>
      </c>
      <c r="D264" s="227">
        <v>6</v>
      </c>
      <c r="E264" s="135"/>
      <c r="F264" s="135" t="str">
        <f>IFERROR(VLOOKUP(C264,'01_RS ALCARRIA'!$F$41:$R$45,13,FALSE),"")</f>
        <v/>
      </c>
      <c r="G264" s="135" t="str">
        <f>IFERROR(VLOOKUP(C264,'01_RS ALCARRIA'!$F$41:$T$45,15,FALSE),"")</f>
        <v/>
      </c>
      <c r="H264" s="138" t="e">
        <f t="shared" si="254"/>
        <v>#VALUE!</v>
      </c>
      <c r="I264" s="135" t="str">
        <f>IFERROR(VLOOKUP(C264,'02_TCT GUADAMUR'!$F$41:$R$45,13,FALSE),"")</f>
        <v/>
      </c>
      <c r="J264" s="135" t="str">
        <f>IFERROR(VLOOKUP(C264,'02_TCT GUADAMUR'!$F$41:$T$45,15,FALSE),"")</f>
        <v/>
      </c>
      <c r="K264" s="138" t="e">
        <f t="shared" si="255"/>
        <v>#VALUE!</v>
      </c>
      <c r="L264" s="135">
        <f>IFERROR(VLOOKUP(C264,'03_TCT MAQUEDA'!$F$41:$R$45,13,FALSE),"")</f>
        <v>17</v>
      </c>
      <c r="M264" s="135">
        <f>IFERROR(VLOOKUP(C264,'03_TCT MAQUEDA'!$F$41:$T$45,15,FALSE),"")</f>
        <v>6</v>
      </c>
      <c r="N264" s="138">
        <f t="shared" si="256"/>
        <v>23</v>
      </c>
      <c r="O264" s="135" t="str">
        <f>IFERROR(VLOOKUP(C264,'04_RALLYE CAM'!$F$41:$R$45,13,FALSE),"")</f>
        <v/>
      </c>
      <c r="P264" s="135" t="str">
        <f>IFERROR(VLOOKUP(C264,'04_RALLYE CAM'!$F$41:$T$45,15,FALSE),"")</f>
        <v/>
      </c>
      <c r="Q264" s="138" t="e">
        <f t="shared" si="257"/>
        <v>#VALUE!</v>
      </c>
      <c r="R264" s="135" t="str">
        <f>IFERROR(VLOOKUP(C264,'05_RS NAVALCARNERO'!$F$32:$R$34,13,FALSE),"")</f>
        <v/>
      </c>
      <c r="S264" s="451" t="str">
        <f>IFERROR(VLOOKUP(C264,'05_RS NAVALCARNERO'!$F$32:$T$34,15,FALSE),"")</f>
        <v/>
      </c>
      <c r="T264" s="138" t="e">
        <f t="shared" si="258"/>
        <v>#VALUE!</v>
      </c>
      <c r="U264" s="135" t="str">
        <f>IFERROR(VLOOKUP(C264,'06_TCT NUEVO BAZTÁN'!$F$32:$R$34,13,FALSE),"")</f>
        <v/>
      </c>
      <c r="V264" s="451" t="str">
        <f>IFERROR(VLOOKUP(C264,'06_TCT NUEVO BAZTÁN'!$F$32:$T$34,15,FALSE),"")</f>
        <v/>
      </c>
      <c r="W264" s="138" t="e">
        <f t="shared" si="259"/>
        <v>#VALUE!</v>
      </c>
      <c r="X264" s="139" t="e">
        <f t="shared" si="260"/>
        <v>#VALUE!</v>
      </c>
      <c r="Y264" s="140" t="str">
        <f t="shared" si="253"/>
        <v>Sí</v>
      </c>
      <c r="Z264" s="141">
        <f t="shared" si="261"/>
        <v>6</v>
      </c>
    </row>
    <row r="265" spans="2:28" ht="12.75" customHeight="1" x14ac:dyDescent="0.3">
      <c r="B265" s="133">
        <v>6</v>
      </c>
      <c r="C265" s="151"/>
      <c r="D265" s="227">
        <v>6</v>
      </c>
      <c r="E265" s="135"/>
      <c r="F265" s="135" t="str">
        <f>IFERROR(VLOOKUP(C265,'01_RS ALCARRIA'!$F$41:$R$45,13,FALSE),"")</f>
        <v/>
      </c>
      <c r="G265" s="135" t="str">
        <f>IFERROR(VLOOKUP(C265,'01_RS ALCARRIA'!$F$41:$T$45,15,FALSE),"")</f>
        <v/>
      </c>
      <c r="H265" s="138" t="e">
        <f t="shared" si="254"/>
        <v>#VALUE!</v>
      </c>
      <c r="I265" s="135" t="str">
        <f>IFERROR(VLOOKUP(C265,'02_TCT GUADAMUR'!$F$41:$R$45,13,FALSE),"")</f>
        <v/>
      </c>
      <c r="J265" s="135" t="str">
        <f>IFERROR(VLOOKUP(C265,'02_TCT GUADAMUR'!$F$41:$T$45,15,FALSE),"")</f>
        <v/>
      </c>
      <c r="K265" s="138" t="e">
        <f t="shared" si="255"/>
        <v>#VALUE!</v>
      </c>
      <c r="L265" s="135" t="str">
        <f>IFERROR(VLOOKUP(C265,'03_TCT MAQUEDA'!$F$41:$R$45,13,FALSE),"")</f>
        <v/>
      </c>
      <c r="M265" s="135" t="str">
        <f>IFERROR(VLOOKUP(C265,'03_TCT MAQUEDA'!$F$41:$T$45,15,FALSE),"")</f>
        <v/>
      </c>
      <c r="N265" s="138" t="e">
        <f t="shared" si="256"/>
        <v>#VALUE!</v>
      </c>
      <c r="O265" s="135" t="str">
        <f>IFERROR(VLOOKUP(C265,'04_RALLYE CAM'!$F$41:$R$45,13,FALSE),"")</f>
        <v/>
      </c>
      <c r="P265" s="135" t="str">
        <f>IFERROR(VLOOKUP(C265,'04_RALLYE CAM'!$F$41:$T$45,15,FALSE),"")</f>
        <v/>
      </c>
      <c r="Q265" s="138" t="e">
        <f t="shared" si="257"/>
        <v>#VALUE!</v>
      </c>
      <c r="R265" s="135" t="str">
        <f>IFERROR(VLOOKUP(C265,'05_RS NAVALCARNERO'!$F$32:$R$34,13,FALSE),"")</f>
        <v/>
      </c>
      <c r="S265" s="451" t="str">
        <f>IFERROR(VLOOKUP(C265,'05_RS NAVALCARNERO'!$F$32:$T$34,15,FALSE),"")</f>
        <v/>
      </c>
      <c r="T265" s="138" t="e">
        <f t="shared" si="258"/>
        <v>#VALUE!</v>
      </c>
      <c r="U265" s="135" t="str">
        <f>IFERROR(VLOOKUP(C265,'06_TCT NUEVO BAZTÁN'!$F$32:$R$34,13,FALSE),"")</f>
        <v/>
      </c>
      <c r="V265" s="451" t="str">
        <f>IFERROR(VLOOKUP(C265,'06_TCT NUEVO BAZTÁN'!$F$32:$T$34,15,FALSE),"")</f>
        <v/>
      </c>
      <c r="W265" s="138" t="e">
        <f t="shared" si="259"/>
        <v>#VALUE!</v>
      </c>
      <c r="X265" s="139" t="e">
        <f t="shared" si="260"/>
        <v>#VALUE!</v>
      </c>
      <c r="Y265" s="140" t="str">
        <f t="shared" si="253"/>
        <v>Sí</v>
      </c>
      <c r="Z265" s="141">
        <f t="shared" si="261"/>
        <v>6</v>
      </c>
    </row>
    <row r="266" spans="2:28" ht="12.75" customHeight="1" x14ac:dyDescent="0.3">
      <c r="B266" s="133"/>
      <c r="C266" s="151"/>
      <c r="D266" s="227">
        <v>6</v>
      </c>
      <c r="E266" s="135"/>
      <c r="F266" s="135" t="str">
        <f>IFERROR(VLOOKUP(C266,'01_RS ALCARRIA'!$F$41:$R$45,13,FALSE),"")</f>
        <v/>
      </c>
      <c r="G266" s="135" t="str">
        <f>IFERROR(VLOOKUP(C266,'01_RS ALCARRIA'!$F$41:$T$45,15,FALSE),"")</f>
        <v/>
      </c>
      <c r="H266" s="138" t="e">
        <f t="shared" si="254"/>
        <v>#VALUE!</v>
      </c>
      <c r="I266" s="135" t="str">
        <f>IFERROR(VLOOKUP(C266,'02_TCT GUADAMUR'!$F$41:$R$45,13,FALSE),"")</f>
        <v/>
      </c>
      <c r="J266" s="135" t="str">
        <f>IFERROR(VLOOKUP(C266,'02_TCT GUADAMUR'!$F$41:$T$45,15,FALSE),"")</f>
        <v/>
      </c>
      <c r="K266" s="138" t="e">
        <f t="shared" si="255"/>
        <v>#VALUE!</v>
      </c>
      <c r="L266" s="135" t="str">
        <f>IFERROR(VLOOKUP(C266,'03_TCT MAQUEDA'!$F$41:$R$45,13,FALSE),"")</f>
        <v/>
      </c>
      <c r="M266" s="135" t="str">
        <f>IFERROR(VLOOKUP(C266,'03_TCT MAQUEDA'!$F$41:$T$45,15,FALSE),"")</f>
        <v/>
      </c>
      <c r="N266" s="138" t="e">
        <f t="shared" si="256"/>
        <v>#VALUE!</v>
      </c>
      <c r="O266" s="135" t="str">
        <f>IFERROR(VLOOKUP(C266,'04_RALLYE CAM'!$F$41:$R$45,13,FALSE),"")</f>
        <v/>
      </c>
      <c r="P266" s="135" t="str">
        <f>IFERROR(VLOOKUP(C266,'04_RALLYE CAM'!$F$41:$T$45,15,FALSE),"")</f>
        <v/>
      </c>
      <c r="Q266" s="138" t="e">
        <f t="shared" si="257"/>
        <v>#VALUE!</v>
      </c>
      <c r="R266" s="135" t="str">
        <f>IFERROR(VLOOKUP(C266,'05_RS NAVALCARNERO'!$F$32:$R$34,13,FALSE),"")</f>
        <v/>
      </c>
      <c r="S266" s="451" t="str">
        <f>IFERROR(VLOOKUP(C266,'05_RS NAVALCARNERO'!$F$32:$T$34,15,FALSE),"")</f>
        <v/>
      </c>
      <c r="T266" s="138" t="e">
        <f t="shared" si="258"/>
        <v>#VALUE!</v>
      </c>
      <c r="U266" s="135" t="str">
        <f>IFERROR(VLOOKUP(C266,'06_TCT NUEVO BAZTÁN'!$F$32:$R$34,13,FALSE),"")</f>
        <v/>
      </c>
      <c r="V266" s="451" t="str">
        <f>IFERROR(VLOOKUP(C266,'06_TCT NUEVO BAZTÁN'!$F$32:$T$34,15,FALSE),"")</f>
        <v/>
      </c>
      <c r="W266" s="138" t="e">
        <f t="shared" si="259"/>
        <v>#VALUE!</v>
      </c>
      <c r="X266" s="139" t="e">
        <f t="shared" si="260"/>
        <v>#VALUE!</v>
      </c>
      <c r="Y266" s="140" t="str">
        <f t="shared" si="253"/>
        <v>Sí</v>
      </c>
      <c r="Z266" s="141">
        <f t="shared" si="261"/>
        <v>6</v>
      </c>
    </row>
    <row r="267" spans="2:28" ht="13" x14ac:dyDescent="0.3">
      <c r="B267" s="152"/>
      <c r="C267" s="153"/>
      <c r="D267" s="154"/>
      <c r="E267" s="154"/>
      <c r="F267" s="154"/>
      <c r="G267" s="154"/>
      <c r="H267" s="146"/>
      <c r="I267" s="154"/>
      <c r="J267" s="154"/>
      <c r="K267" s="155"/>
      <c r="L267" s="155"/>
      <c r="M267" s="155"/>
      <c r="N267" s="155"/>
      <c r="O267" s="155"/>
      <c r="P267" s="4"/>
      <c r="Q267" s="4"/>
      <c r="R267" s="155"/>
      <c r="S267" s="4"/>
      <c r="T267" s="4"/>
      <c r="U267" s="4"/>
      <c r="V267" s="4"/>
      <c r="W267" s="4"/>
      <c r="X267" s="4"/>
      <c r="Y267" s="149"/>
      <c r="Z267" s="127"/>
    </row>
    <row r="268" spans="2:28" ht="12.75" customHeight="1" x14ac:dyDescent="0.3">
      <c r="B268" s="1"/>
      <c r="C268" s="235"/>
      <c r="D268" s="284"/>
      <c r="E268" s="285" t="s">
        <v>534</v>
      </c>
      <c r="F268" s="147"/>
      <c r="G268" s="147"/>
      <c r="H268" s="147"/>
      <c r="I268" s="147"/>
      <c r="J268" s="147"/>
      <c r="K268" s="147"/>
      <c r="L268" s="147"/>
      <c r="M268" s="147"/>
      <c r="N268" s="147"/>
      <c r="O268" s="147"/>
      <c r="P268" s="147"/>
      <c r="Q268" s="147"/>
      <c r="R268" s="147"/>
      <c r="S268" s="147"/>
      <c r="T268" s="147"/>
      <c r="U268" s="147"/>
      <c r="V268" s="147"/>
      <c r="W268" s="147"/>
      <c r="X268" s="147"/>
      <c r="Y268" s="147"/>
      <c r="Z268" s="147"/>
      <c r="AA268" s="148"/>
      <c r="AB268" s="262"/>
    </row>
    <row r="269" spans="2:28" ht="13" x14ac:dyDescent="0.3">
      <c r="B269" s="152"/>
      <c r="C269" s="153"/>
      <c r="D269" s="154"/>
      <c r="E269" s="154"/>
      <c r="F269" s="154"/>
      <c r="G269" s="154"/>
      <c r="H269" s="146"/>
      <c r="I269" s="154"/>
      <c r="J269" s="154"/>
      <c r="K269" s="155"/>
      <c r="L269" s="155"/>
      <c r="M269" s="155"/>
      <c r="N269" s="155"/>
      <c r="O269" s="155"/>
      <c r="P269" s="155"/>
      <c r="Q269" s="155"/>
      <c r="R269" s="155"/>
      <c r="S269" s="155"/>
      <c r="T269" s="155"/>
      <c r="U269" s="155"/>
      <c r="V269" s="155"/>
      <c r="W269" s="155"/>
      <c r="X269" s="155"/>
      <c r="Y269" s="149"/>
      <c r="Z269" s="127"/>
    </row>
    <row r="270" spans="2:28" ht="13" x14ac:dyDescent="0.3">
      <c r="B270" s="152"/>
      <c r="C270" s="153"/>
      <c r="D270" s="154"/>
      <c r="E270" s="154"/>
      <c r="F270" s="154"/>
      <c r="G270" s="154"/>
      <c r="H270" s="146"/>
      <c r="I270" s="154"/>
      <c r="J270" s="154"/>
      <c r="K270" s="155"/>
      <c r="L270" s="155"/>
      <c r="M270" s="155"/>
      <c r="N270" s="155"/>
      <c r="O270" s="155"/>
      <c r="P270" s="155"/>
      <c r="Q270" s="155"/>
      <c r="R270" s="155"/>
      <c r="S270" s="155"/>
      <c r="T270" s="155"/>
      <c r="U270" s="155"/>
      <c r="V270" s="155"/>
      <c r="W270" s="155"/>
      <c r="X270" s="155"/>
      <c r="Y270" s="149"/>
      <c r="Z270" s="127"/>
    </row>
    <row r="271" spans="2:28" ht="39" customHeight="1" x14ac:dyDescent="0.55000000000000004">
      <c r="B271" s="164" t="s">
        <v>518</v>
      </c>
      <c r="C271" s="165"/>
      <c r="D271" s="165"/>
      <c r="E271" s="165"/>
      <c r="F271" s="165"/>
      <c r="G271" s="165"/>
      <c r="H271" s="165"/>
      <c r="I271" s="165"/>
      <c r="J271" s="165"/>
      <c r="K271" s="165"/>
      <c r="L271" s="165"/>
      <c r="M271" s="165"/>
      <c r="N271" s="165"/>
      <c r="O271" s="165"/>
      <c r="P271" s="165"/>
      <c r="Q271" s="165"/>
      <c r="R271" s="165"/>
      <c r="S271" s="165"/>
      <c r="T271" s="165"/>
      <c r="U271" s="165"/>
      <c r="V271" s="165"/>
      <c r="W271" s="165"/>
      <c r="X271" s="165"/>
    </row>
    <row r="272" spans="2:28" ht="37.5" customHeight="1" x14ac:dyDescent="0.3">
      <c r="B272" s="166" t="s">
        <v>224</v>
      </c>
      <c r="C272" s="167"/>
      <c r="D272" s="167"/>
      <c r="E272" s="167"/>
      <c r="F272" s="167"/>
      <c r="G272" s="167"/>
      <c r="H272" s="167"/>
      <c r="I272" s="167"/>
      <c r="J272" s="167"/>
      <c r="K272" s="167"/>
      <c r="L272" s="167"/>
      <c r="M272" s="167"/>
      <c r="N272" s="167"/>
      <c r="O272" s="167"/>
      <c r="P272" s="167"/>
      <c r="Q272" s="167"/>
      <c r="R272" s="167"/>
      <c r="S272" s="167"/>
      <c r="T272" s="167"/>
      <c r="U272" s="167"/>
      <c r="V272" s="167"/>
      <c r="W272" s="167"/>
      <c r="X272" s="167"/>
      <c r="Y272" s="30"/>
      <c r="Z272" s="30"/>
    </row>
    <row r="273" spans="2:28" ht="12.75" customHeight="1" x14ac:dyDescent="0.3">
      <c r="B273" s="162"/>
      <c r="C273" s="168"/>
      <c r="D273" s="161"/>
      <c r="E273" s="161"/>
      <c r="F273" s="222" t="s">
        <v>220</v>
      </c>
      <c r="G273" s="223"/>
      <c r="H273" s="224"/>
      <c r="I273" s="222" t="s">
        <v>663</v>
      </c>
      <c r="J273" s="225"/>
      <c r="K273" s="226"/>
      <c r="L273" s="222" t="s">
        <v>532</v>
      </c>
      <c r="M273" s="225"/>
      <c r="N273" s="226"/>
      <c r="O273" s="222" t="s">
        <v>526</v>
      </c>
      <c r="P273" s="225"/>
      <c r="Q273" s="226"/>
      <c r="R273" s="222" t="s">
        <v>287</v>
      </c>
      <c r="S273" s="225"/>
      <c r="T273" s="226"/>
      <c r="U273" s="413" t="s">
        <v>527</v>
      </c>
      <c r="V273" s="226"/>
      <c r="W273" s="226"/>
      <c r="X273" s="161" t="s">
        <v>213</v>
      </c>
      <c r="Y273" s="30"/>
      <c r="Z273" s="30"/>
    </row>
    <row r="274" spans="2:28" ht="12.75" customHeight="1" x14ac:dyDescent="0.3">
      <c r="B274" s="159" t="s">
        <v>0</v>
      </c>
      <c r="C274" s="170" t="s">
        <v>1</v>
      </c>
      <c r="D274" s="160" t="s">
        <v>2</v>
      </c>
      <c r="E274" s="160" t="s">
        <v>3</v>
      </c>
      <c r="F274" s="217" t="s">
        <v>523</v>
      </c>
      <c r="G274" s="218"/>
      <c r="H274" s="219"/>
      <c r="I274" s="217" t="s">
        <v>525</v>
      </c>
      <c r="J274" s="220"/>
      <c r="K274" s="221"/>
      <c r="L274" s="217" t="s">
        <v>664</v>
      </c>
      <c r="M274" s="220"/>
      <c r="N274" s="221"/>
      <c r="O274" s="217" t="s">
        <v>529</v>
      </c>
      <c r="P274" s="220"/>
      <c r="Q274" s="221"/>
      <c r="R274" s="217" t="s">
        <v>530</v>
      </c>
      <c r="S274" s="220"/>
      <c r="T274" s="221"/>
      <c r="U274" s="414" t="s">
        <v>528</v>
      </c>
      <c r="V274" s="255"/>
      <c r="W274" s="415"/>
      <c r="X274" s="160" t="s">
        <v>9</v>
      </c>
      <c r="Y274" s="519" t="s">
        <v>223</v>
      </c>
      <c r="Z274" s="521" t="s">
        <v>4</v>
      </c>
    </row>
    <row r="275" spans="2:28" ht="12.75" customHeight="1" x14ac:dyDescent="0.3">
      <c r="B275" s="163"/>
      <c r="C275" s="169"/>
      <c r="D275" s="157"/>
      <c r="E275" s="157"/>
      <c r="F275" s="131" t="s">
        <v>33</v>
      </c>
      <c r="G275" s="131" t="s">
        <v>34</v>
      </c>
      <c r="H275" s="132" t="s">
        <v>35</v>
      </c>
      <c r="I275" s="131" t="s">
        <v>33</v>
      </c>
      <c r="J275" s="131" t="s">
        <v>34</v>
      </c>
      <c r="K275" s="132" t="s">
        <v>35</v>
      </c>
      <c r="L275" s="131" t="s">
        <v>33</v>
      </c>
      <c r="M275" s="131" t="s">
        <v>34</v>
      </c>
      <c r="N275" s="132" t="s">
        <v>35</v>
      </c>
      <c r="O275" s="131" t="s">
        <v>33</v>
      </c>
      <c r="P275" s="131" t="s">
        <v>34</v>
      </c>
      <c r="Q275" s="132" t="s">
        <v>35</v>
      </c>
      <c r="R275" s="131" t="s">
        <v>33</v>
      </c>
      <c r="S275" s="131" t="s">
        <v>34</v>
      </c>
      <c r="T275" s="132" t="s">
        <v>35</v>
      </c>
      <c r="U275" s="131" t="s">
        <v>33</v>
      </c>
      <c r="V275" s="131" t="s">
        <v>34</v>
      </c>
      <c r="W275" s="132" t="s">
        <v>35</v>
      </c>
      <c r="X275" s="157"/>
      <c r="Y275" s="520"/>
      <c r="Z275" s="522"/>
    </row>
    <row r="276" spans="2:28" ht="12.75" customHeight="1" x14ac:dyDescent="0.3">
      <c r="B276" s="133">
        <v>1</v>
      </c>
      <c r="C276" s="142" t="s">
        <v>639</v>
      </c>
      <c r="D276" s="227">
        <v>7</v>
      </c>
      <c r="E276" s="227"/>
      <c r="F276" s="488">
        <f>IFERROR(VLOOKUP(C276,'01_RS ALCARRIA'!$D$50:$M$55,10,FALSE),"")</f>
        <v>25</v>
      </c>
      <c r="G276" s="488">
        <f>IFERROR(VLOOKUP(C276,'01_RS ALCARRIA'!$D$50:$O$55,12,FALSE),"")</f>
        <v>10</v>
      </c>
      <c r="H276" s="138">
        <f>(F276+G276)*2</f>
        <v>70</v>
      </c>
      <c r="I276" s="135">
        <f>IFERROR(VLOOKUP(C276,'02_TCT GUADAMUR'!$D$50:$M$55,10,FALSE),"")</f>
        <v>25</v>
      </c>
      <c r="J276" s="135">
        <f>IFERROR(VLOOKUP(C276,'02_TCT GUADAMUR'!$D$50:$O$55,12,FALSE),"")</f>
        <v>10</v>
      </c>
      <c r="K276" s="138">
        <f>(I276+J276)</f>
        <v>35</v>
      </c>
      <c r="L276" s="135">
        <f>IFERROR(VLOOKUP(C276,'03_TCT MAQUEDA'!$D$50:$M$55,10,FALSE),"")</f>
        <v>25</v>
      </c>
      <c r="M276" s="135">
        <f>IFERROR(VLOOKUP(C276,'03_TCT MAQUEDA'!$D$50:$O$55,12,FALSE),"")</f>
        <v>10</v>
      </c>
      <c r="N276" s="138">
        <f>(L276+M276)</f>
        <v>35</v>
      </c>
      <c r="O276" s="135" t="str">
        <f>IFERROR(VLOOKUP(C276,'04_RALLYE CAM'!$D$50:$M$54,10,FALSE),"")</f>
        <v/>
      </c>
      <c r="P276" s="135" t="str">
        <f>IFERROR(VLOOKUP(C276,'04_RALLYE CAM'!$D$50:$O$54,12,FALSE),"")</f>
        <v/>
      </c>
      <c r="Q276" s="138" t="e">
        <f>(O276+P276)*3</f>
        <v>#VALUE!</v>
      </c>
      <c r="R276" s="135" t="str">
        <f>IFERROR(VLOOKUP(C276,'05_RS NAVALCARNERO'!$D$38:$M$40,10,FALSE),"")</f>
        <v/>
      </c>
      <c r="S276" s="135" t="str">
        <f>IFERROR(VLOOKUP(C276,'05_RS NAVALCARNERO'!$D$38:$O$40,12,FALSE),"")</f>
        <v/>
      </c>
      <c r="T276" s="138" t="e">
        <f>(R276+S276)*2</f>
        <v>#VALUE!</v>
      </c>
      <c r="U276" s="135" t="str">
        <f>IFERROR(VLOOKUP(C276,'06_TCT NUEVO BAZTÁN'!$D$38:$M$40,10,FALSE),"")</f>
        <v/>
      </c>
      <c r="V276" s="135" t="str">
        <f>IFERROR(VLOOKUP(C276,'06_TCT NUEVO BAZTÁN'!$D$38:$O$40,12,FALSE),"")</f>
        <v/>
      </c>
      <c r="W276" s="138" t="e">
        <f>(U276+V276)</f>
        <v>#VALUE!</v>
      </c>
      <c r="X276" s="139" t="e">
        <f>H276+K276+N276+Q276+T276+W276</f>
        <v>#VALUE!</v>
      </c>
      <c r="Y276" s="140" t="str">
        <f t="shared" ref="Y276:Y281" si="262">IF(Z276&gt;=3,"Sí","No")</f>
        <v>Sí</v>
      </c>
      <c r="Z276" s="141">
        <f>COUNTA(H276,K276,N276,Q276,T276,W276)</f>
        <v>6</v>
      </c>
    </row>
    <row r="277" spans="2:28" ht="13" x14ac:dyDescent="0.3">
      <c r="B277" s="133">
        <v>2</v>
      </c>
      <c r="C277" s="142" t="s">
        <v>655</v>
      </c>
      <c r="D277" s="227">
        <v>7</v>
      </c>
      <c r="E277" s="227"/>
      <c r="F277" s="488">
        <f>IFERROR(VLOOKUP(C277,'01_RS ALCARRIA'!$D$50:$M$55,10,FALSE),"")</f>
        <v>20</v>
      </c>
      <c r="G277" s="488">
        <f>IFERROR(VLOOKUP(C277,'01_RS ALCARRIA'!$D$50:$O$55,12,FALSE),"")</f>
        <v>8</v>
      </c>
      <c r="H277" s="138">
        <f t="shared" ref="H277:H281" si="263">(F277+G277)*2</f>
        <v>56</v>
      </c>
      <c r="I277" s="135">
        <f>IFERROR(VLOOKUP(C277,'02_TCT GUADAMUR'!$D$50:$M$55,10,FALSE),"")</f>
        <v>20</v>
      </c>
      <c r="J277" s="135">
        <f>IFERROR(VLOOKUP(C277,'02_TCT GUADAMUR'!$D$50:$O$55,12,FALSE),"")</f>
        <v>8</v>
      </c>
      <c r="K277" s="138">
        <f t="shared" ref="K277:K281" si="264">(I277+J277)</f>
        <v>28</v>
      </c>
      <c r="L277" s="135">
        <v>0</v>
      </c>
      <c r="M277" s="135">
        <v>0</v>
      </c>
      <c r="N277" s="138">
        <f t="shared" ref="N277:N281" si="265">(L277+M277)</f>
        <v>0</v>
      </c>
      <c r="O277" s="135" t="str">
        <f>IFERROR(VLOOKUP(C277,'04_RALLYE CAM'!$D$50:$M$54,10,FALSE),"")</f>
        <v/>
      </c>
      <c r="P277" s="135" t="str">
        <f>IFERROR(VLOOKUP(C277,'04_RALLYE CAM'!$D$50:$O$54,12,FALSE),"")</f>
        <v/>
      </c>
      <c r="Q277" s="138" t="e">
        <f t="shared" ref="Q277:Q281" si="266">(O277+P277)*3</f>
        <v>#VALUE!</v>
      </c>
      <c r="R277" s="135" t="str">
        <f>IFERROR(VLOOKUP(C277,'05_RS NAVALCARNERO'!$D$38:$M$40,10,FALSE),"")</f>
        <v/>
      </c>
      <c r="S277" s="135" t="str">
        <f>IFERROR(VLOOKUP(C277,'05_RS NAVALCARNERO'!$D$38:$O$40,12,FALSE),"")</f>
        <v/>
      </c>
      <c r="T277" s="138" t="e">
        <f t="shared" ref="T277:T281" si="267">(R277+S277)*2</f>
        <v>#VALUE!</v>
      </c>
      <c r="U277" s="135" t="str">
        <f>IFERROR(VLOOKUP(C277,'06_TCT NUEVO BAZTÁN'!$D$38:$M$40,10,FALSE),"")</f>
        <v/>
      </c>
      <c r="V277" s="135" t="str">
        <f>IFERROR(VLOOKUP(C277,'06_TCT NUEVO BAZTÁN'!$D$38:$O$40,12,FALSE),"")</f>
        <v/>
      </c>
      <c r="W277" s="138" t="e">
        <f t="shared" ref="W277:W281" si="268">(U277+V277)</f>
        <v>#VALUE!</v>
      </c>
      <c r="X277" s="139" t="e">
        <f t="shared" ref="X277:X281" si="269">H277+K277+N277+Q277+T277+W277</f>
        <v>#VALUE!</v>
      </c>
      <c r="Y277" s="140" t="str">
        <f t="shared" si="262"/>
        <v>Sí</v>
      </c>
      <c r="Z277" s="141">
        <f t="shared" ref="Z277:Z281" si="270">COUNTA(H277,K277,N277,Q277,T277,W277)</f>
        <v>6</v>
      </c>
    </row>
    <row r="278" spans="2:28" ht="13" x14ac:dyDescent="0.3">
      <c r="B278" s="133">
        <v>3</v>
      </c>
      <c r="C278" s="134" t="s">
        <v>264</v>
      </c>
      <c r="D278" s="227">
        <v>7</v>
      </c>
      <c r="E278" s="227"/>
      <c r="F278" s="488">
        <f>IFERROR(VLOOKUP(C278,'01_RS ALCARRIA'!$D$50:$M$55,10,FALSE),"")</f>
        <v>17</v>
      </c>
      <c r="G278" s="488">
        <f>IFERROR(VLOOKUP(C278,'01_RS ALCARRIA'!$D$50:$O$55,12,FALSE),"")</f>
        <v>6</v>
      </c>
      <c r="H278" s="138">
        <f t="shared" si="263"/>
        <v>46</v>
      </c>
      <c r="I278" s="135" t="str">
        <f>IFERROR(VLOOKUP(C278,'02_TCT GUADAMUR'!$D$50:$M$55,10,FALSE),"")</f>
        <v/>
      </c>
      <c r="J278" s="135" t="str">
        <f>IFERROR(VLOOKUP(C278,'02_TCT GUADAMUR'!$D$50:$O$55,12,FALSE),"")</f>
        <v/>
      </c>
      <c r="K278" s="138" t="e">
        <f t="shared" si="264"/>
        <v>#VALUE!</v>
      </c>
      <c r="L278" s="135" t="str">
        <f>IFERROR(VLOOKUP(C278,'03_TCT MAQUEDA'!$D$50:$M$55,10,FALSE),"")</f>
        <v/>
      </c>
      <c r="M278" s="135" t="str">
        <f>IFERROR(VLOOKUP(C278,'03_TCT MAQUEDA'!$D$50:$O$55,12,FALSE),"")</f>
        <v/>
      </c>
      <c r="N278" s="138" t="e">
        <f t="shared" si="265"/>
        <v>#VALUE!</v>
      </c>
      <c r="O278" s="135" t="str">
        <f>IFERROR(VLOOKUP(C278,'04_RALLYE CAM'!$D$50:$M$54,10,FALSE),"")</f>
        <v/>
      </c>
      <c r="P278" s="135" t="str">
        <f>IFERROR(VLOOKUP(C278,'04_RALLYE CAM'!$D$50:$O$54,12,FALSE),"")</f>
        <v/>
      </c>
      <c r="Q278" s="138" t="e">
        <f t="shared" si="266"/>
        <v>#VALUE!</v>
      </c>
      <c r="R278" s="135" t="str">
        <f>IFERROR(VLOOKUP(C278,'05_RS NAVALCARNERO'!$D$38:$M$40,10,FALSE),"")</f>
        <v/>
      </c>
      <c r="S278" s="135" t="str">
        <f>IFERROR(VLOOKUP(C278,'05_RS NAVALCARNERO'!$D$38:$O$40,12,FALSE),"")</f>
        <v/>
      </c>
      <c r="T278" s="138" t="e">
        <f t="shared" si="267"/>
        <v>#VALUE!</v>
      </c>
      <c r="U278" s="135" t="str">
        <f>IFERROR(VLOOKUP(C278,'06_TCT NUEVO BAZTÁN'!$D$38:$M$40,10,FALSE),"")</f>
        <v/>
      </c>
      <c r="V278" s="135" t="str">
        <f>IFERROR(VLOOKUP(C278,'06_TCT NUEVO BAZTÁN'!$D$38:$O$40,12,FALSE),"")</f>
        <v/>
      </c>
      <c r="W278" s="138" t="e">
        <f t="shared" si="268"/>
        <v>#VALUE!</v>
      </c>
      <c r="X278" s="139" t="e">
        <f t="shared" si="269"/>
        <v>#VALUE!</v>
      </c>
      <c r="Y278" s="140" t="str">
        <f t="shared" si="262"/>
        <v>Sí</v>
      </c>
      <c r="Z278" s="141">
        <f t="shared" si="270"/>
        <v>6</v>
      </c>
    </row>
    <row r="279" spans="2:28" ht="13" x14ac:dyDescent="0.3">
      <c r="B279" s="133">
        <v>4</v>
      </c>
      <c r="C279" s="134" t="s">
        <v>642</v>
      </c>
      <c r="D279" s="227">
        <v>7</v>
      </c>
      <c r="E279" s="227"/>
      <c r="F279" s="488">
        <f>IFERROR(VLOOKUP(C279,'01_RS ALCARRIA'!$D$50:$M$55,10,FALSE),"")</f>
        <v>15</v>
      </c>
      <c r="G279" s="488">
        <f>IFERROR(VLOOKUP(C279,'01_RS ALCARRIA'!$D$50:$O$55,12,FALSE),"")</f>
        <v>5</v>
      </c>
      <c r="H279" s="138">
        <f t="shared" si="263"/>
        <v>40</v>
      </c>
      <c r="I279" s="135" t="str">
        <f>IFERROR(VLOOKUP(C279,'02_TCT GUADAMUR'!$D$50:$M$55,10,FALSE),"")</f>
        <v/>
      </c>
      <c r="J279" s="135" t="str">
        <f>IFERROR(VLOOKUP(C279,'02_TCT GUADAMUR'!$D$50:$O$55,12,FALSE),"")</f>
        <v/>
      </c>
      <c r="K279" s="138" t="e">
        <f t="shared" si="264"/>
        <v>#VALUE!</v>
      </c>
      <c r="L279" s="135">
        <f>IFERROR(VLOOKUP(C279,'03_TCT MAQUEDA'!$D$50:$M$55,10,FALSE),"")</f>
        <v>20</v>
      </c>
      <c r="M279" s="135">
        <f>IFERROR(VLOOKUP(C279,'03_TCT MAQUEDA'!$D$50:$O$55,12,FALSE),"")</f>
        <v>8</v>
      </c>
      <c r="N279" s="138">
        <f t="shared" si="265"/>
        <v>28</v>
      </c>
      <c r="O279" s="135" t="str">
        <f>IFERROR(VLOOKUP(C279,'04_RALLYE CAM'!$D$50:$M$54,10,FALSE),"")</f>
        <v/>
      </c>
      <c r="P279" s="135" t="str">
        <f>IFERROR(VLOOKUP(C279,'04_RALLYE CAM'!$D$50:$O$54,12,FALSE),"")</f>
        <v/>
      </c>
      <c r="Q279" s="138" t="e">
        <f t="shared" si="266"/>
        <v>#VALUE!</v>
      </c>
      <c r="R279" s="135" t="str">
        <f>IFERROR(VLOOKUP(C279,'05_RS NAVALCARNERO'!$D$38:$M$40,10,FALSE),"")</f>
        <v/>
      </c>
      <c r="S279" s="135" t="str">
        <f>IFERROR(VLOOKUP(C279,'05_RS NAVALCARNERO'!$D$38:$O$40,12,FALSE),"")</f>
        <v/>
      </c>
      <c r="T279" s="138" t="e">
        <f t="shared" si="267"/>
        <v>#VALUE!</v>
      </c>
      <c r="U279" s="135" t="str">
        <f>IFERROR(VLOOKUP(C279,'06_TCT NUEVO BAZTÁN'!$D$38:$M$40,10,FALSE),"")</f>
        <v/>
      </c>
      <c r="V279" s="135" t="str">
        <f>IFERROR(VLOOKUP(C279,'06_TCT NUEVO BAZTÁN'!$D$38:$O$40,12,FALSE),"")</f>
        <v/>
      </c>
      <c r="W279" s="138" t="e">
        <f t="shared" si="268"/>
        <v>#VALUE!</v>
      </c>
      <c r="X279" s="139" t="e">
        <f t="shared" si="269"/>
        <v>#VALUE!</v>
      </c>
      <c r="Y279" s="140" t="str">
        <f t="shared" si="262"/>
        <v>Sí</v>
      </c>
      <c r="Z279" s="141">
        <f t="shared" si="270"/>
        <v>6</v>
      </c>
    </row>
    <row r="280" spans="2:28" ht="13" x14ac:dyDescent="0.3">
      <c r="B280" s="133">
        <v>5</v>
      </c>
      <c r="C280" s="134" t="s">
        <v>643</v>
      </c>
      <c r="D280" s="227">
        <v>7</v>
      </c>
      <c r="E280" s="227"/>
      <c r="F280" s="488">
        <f>IFERROR(VLOOKUP(C280,'01_RS ALCARRIA'!$D$50:$M$55,10,FALSE),"")</f>
        <v>12</v>
      </c>
      <c r="G280" s="488">
        <f>IFERROR(VLOOKUP(C280,'01_RS ALCARRIA'!$D$50:$O$55,12,FALSE),"")</f>
        <v>3</v>
      </c>
      <c r="H280" s="138">
        <f t="shared" si="263"/>
        <v>30</v>
      </c>
      <c r="I280" s="135" t="str">
        <f>IFERROR(VLOOKUP(C280,'02_TCT GUADAMUR'!$D$50:$M$55,10,FALSE),"")</f>
        <v/>
      </c>
      <c r="J280" s="135" t="str">
        <f>IFERROR(VLOOKUP(C280,'02_TCT GUADAMUR'!$D$50:$O$55,12,FALSE),"")</f>
        <v/>
      </c>
      <c r="K280" s="138" t="e">
        <f t="shared" si="264"/>
        <v>#VALUE!</v>
      </c>
      <c r="L280" s="135">
        <f>IFERROR(VLOOKUP(C280,'03_TCT MAQUEDA'!$D$50:$M$55,10,FALSE),"")</f>
        <v>17</v>
      </c>
      <c r="M280" s="135">
        <f>IFERROR(VLOOKUP(C280,'03_TCT MAQUEDA'!$D$50:$O$55,12,FALSE),"")</f>
        <v>6</v>
      </c>
      <c r="N280" s="138">
        <f t="shared" si="265"/>
        <v>23</v>
      </c>
      <c r="O280" s="135" t="str">
        <f>IFERROR(VLOOKUP(C280,'04_RALLYE CAM'!$D$50:$M$54,10,FALSE),"")</f>
        <v/>
      </c>
      <c r="P280" s="135" t="str">
        <f>IFERROR(VLOOKUP(C280,'04_RALLYE CAM'!$D$50:$O$54,12,FALSE),"")</f>
        <v/>
      </c>
      <c r="Q280" s="138" t="e">
        <f t="shared" si="266"/>
        <v>#VALUE!</v>
      </c>
      <c r="R280" s="135" t="str">
        <f>IFERROR(VLOOKUP(C280,'05_RS NAVALCARNERO'!$D$38:$M$40,10,FALSE),"")</f>
        <v/>
      </c>
      <c r="S280" s="135" t="str">
        <f>IFERROR(VLOOKUP(C280,'05_RS NAVALCARNERO'!$D$38:$O$40,12,FALSE),"")</f>
        <v/>
      </c>
      <c r="T280" s="138" t="e">
        <f t="shared" si="267"/>
        <v>#VALUE!</v>
      </c>
      <c r="U280" s="135" t="str">
        <f>IFERROR(VLOOKUP(C280,'06_TCT NUEVO BAZTÁN'!$D$38:$M$40,10,FALSE),"")</f>
        <v/>
      </c>
      <c r="V280" s="135" t="str">
        <f>IFERROR(VLOOKUP(C280,'06_TCT NUEVO BAZTÁN'!$D$38:$O$40,12,FALSE),"")</f>
        <v/>
      </c>
      <c r="W280" s="138" t="e">
        <f t="shared" si="268"/>
        <v>#VALUE!</v>
      </c>
      <c r="X280" s="139" t="e">
        <f t="shared" si="269"/>
        <v>#VALUE!</v>
      </c>
      <c r="Y280" s="140" t="str">
        <f t="shared" si="262"/>
        <v>Sí</v>
      </c>
      <c r="Z280" s="141">
        <f t="shared" si="270"/>
        <v>6</v>
      </c>
    </row>
    <row r="281" spans="2:28" ht="13" x14ac:dyDescent="0.3">
      <c r="B281" s="133">
        <v>6</v>
      </c>
      <c r="C281" s="134" t="s">
        <v>644</v>
      </c>
      <c r="D281" s="227">
        <v>7</v>
      </c>
      <c r="E281" s="227"/>
      <c r="F281" s="135" t="str">
        <f>IFERROR(VLOOKUP(C281,'01_RS ALCARRIA'!$D$50:$M$55,10,FALSE),"")</f>
        <v/>
      </c>
      <c r="G281" s="135" t="str">
        <f>IFERROR(VLOOKUP(C281,'01_RS ALCARRIA'!$D$50:$O$55,12,FALSE),"")</f>
        <v/>
      </c>
      <c r="H281" s="138" t="e">
        <f t="shared" si="263"/>
        <v>#VALUE!</v>
      </c>
      <c r="I281" s="135">
        <f>IFERROR(VLOOKUP(C281,'02_TCT GUADAMUR'!$D$50:$M$55,10,FALSE),"")</f>
        <v>17</v>
      </c>
      <c r="J281" s="135">
        <f>IFERROR(VLOOKUP(C281,'02_TCT GUADAMUR'!$D$50:$O$55,12,FALSE),"")</f>
        <v>6</v>
      </c>
      <c r="K281" s="138">
        <f t="shared" si="264"/>
        <v>23</v>
      </c>
      <c r="L281" s="135" t="str">
        <f>IFERROR(VLOOKUP(C281,'03_TCT MAQUEDA'!$D$50:$M$55,10,FALSE),"")</f>
        <v/>
      </c>
      <c r="M281" s="135" t="str">
        <f>IFERROR(VLOOKUP(C281,'03_TCT MAQUEDA'!$D$50:$O$55,12,FALSE),"")</f>
        <v/>
      </c>
      <c r="N281" s="138" t="e">
        <f t="shared" si="265"/>
        <v>#VALUE!</v>
      </c>
      <c r="O281" s="135" t="str">
        <f>IFERROR(VLOOKUP(C281,'04_RALLYE CAM'!$D$50:$M$54,10,FALSE),"")</f>
        <v/>
      </c>
      <c r="P281" s="135" t="str">
        <f>IFERROR(VLOOKUP(C281,'04_RALLYE CAM'!$D$50:$O$54,12,FALSE),"")</f>
        <v/>
      </c>
      <c r="Q281" s="138" t="e">
        <f t="shared" si="266"/>
        <v>#VALUE!</v>
      </c>
      <c r="R281" s="135" t="str">
        <f>IFERROR(VLOOKUP(C281,'05_RS NAVALCARNERO'!$D$38:$M$40,10,FALSE),"")</f>
        <v/>
      </c>
      <c r="S281" s="135" t="str">
        <f>IFERROR(VLOOKUP(C281,'05_RS NAVALCARNERO'!$D$38:$O$40,12,FALSE),"")</f>
        <v/>
      </c>
      <c r="T281" s="138" t="e">
        <f t="shared" si="267"/>
        <v>#VALUE!</v>
      </c>
      <c r="U281" s="135" t="str">
        <f>IFERROR(VLOOKUP(C281,'06_TCT NUEVO BAZTÁN'!$D$38:$M$40,10,FALSE),"")</f>
        <v/>
      </c>
      <c r="V281" s="135" t="str">
        <f>IFERROR(VLOOKUP(C281,'06_TCT NUEVO BAZTÁN'!$D$38:$O$40,12,FALSE),"")</f>
        <v/>
      </c>
      <c r="W281" s="138" t="e">
        <f t="shared" si="268"/>
        <v>#VALUE!</v>
      </c>
      <c r="X281" s="139" t="e">
        <f t="shared" si="269"/>
        <v>#VALUE!</v>
      </c>
      <c r="Y281" s="140" t="str">
        <f t="shared" si="262"/>
        <v>Sí</v>
      </c>
      <c r="Z281" s="141">
        <f t="shared" si="270"/>
        <v>6</v>
      </c>
    </row>
    <row r="282" spans="2:28" ht="13" x14ac:dyDescent="0.3">
      <c r="B282" s="152"/>
      <c r="C282" s="242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127"/>
    </row>
    <row r="283" spans="2:28" ht="12.75" customHeight="1" x14ac:dyDescent="0.3">
      <c r="B283" s="1"/>
      <c r="C283" s="235"/>
      <c r="D283" s="284"/>
      <c r="E283" s="285" t="s">
        <v>534</v>
      </c>
      <c r="F283" s="147"/>
      <c r="G283" s="147"/>
      <c r="H283" s="147"/>
      <c r="I283" s="147"/>
      <c r="J283" s="147"/>
      <c r="K283" s="147"/>
      <c r="L283" s="147"/>
      <c r="M283" s="147"/>
      <c r="N283" s="147"/>
      <c r="O283" s="147"/>
      <c r="P283" s="147"/>
      <c r="Q283" s="147"/>
      <c r="R283" s="147"/>
      <c r="S283" s="147"/>
      <c r="T283" s="147"/>
      <c r="U283" s="147"/>
      <c r="V283" s="147"/>
      <c r="W283" s="147"/>
      <c r="X283" s="147"/>
      <c r="Y283" s="147"/>
      <c r="Z283" s="147"/>
      <c r="AA283" s="148"/>
      <c r="AB283" s="262"/>
    </row>
    <row r="284" spans="2:28" ht="13" x14ac:dyDescent="0.3">
      <c r="B284" s="4"/>
      <c r="C284" s="4"/>
      <c r="D284" s="236" t="s">
        <v>510</v>
      </c>
      <c r="E284" s="237" t="s">
        <v>273</v>
      </c>
      <c r="F284" s="238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149"/>
      <c r="Z284" s="127"/>
    </row>
    <row r="285" spans="2:28" ht="39" customHeight="1" x14ac:dyDescent="0.55000000000000004">
      <c r="B285" s="164" t="s">
        <v>518</v>
      </c>
      <c r="C285" s="165"/>
      <c r="D285" s="165"/>
      <c r="E285" s="165"/>
      <c r="F285" s="165"/>
      <c r="G285" s="165"/>
      <c r="H285" s="165"/>
      <c r="I285" s="165"/>
      <c r="J285" s="165"/>
      <c r="K285" s="165"/>
      <c r="L285" s="165"/>
      <c r="M285" s="165"/>
      <c r="N285" s="165"/>
      <c r="O285" s="165"/>
      <c r="P285" s="165"/>
      <c r="Q285" s="165"/>
      <c r="R285" s="165"/>
      <c r="S285" s="165"/>
      <c r="T285" s="165"/>
      <c r="U285" s="165"/>
      <c r="V285" s="165"/>
      <c r="W285" s="165"/>
      <c r="X285" s="165"/>
    </row>
    <row r="286" spans="2:28" ht="37.5" customHeight="1" x14ac:dyDescent="0.3">
      <c r="B286" s="166" t="s">
        <v>338</v>
      </c>
      <c r="C286" s="167"/>
      <c r="D286" s="167"/>
      <c r="E286" s="167"/>
      <c r="F286" s="167"/>
      <c r="G286" s="167"/>
      <c r="H286" s="167"/>
      <c r="I286" s="167"/>
      <c r="J286" s="167"/>
      <c r="K286" s="167"/>
      <c r="L286" s="167"/>
      <c r="M286" s="167"/>
      <c r="N286" s="167"/>
      <c r="O286" s="167"/>
      <c r="P286" s="167"/>
      <c r="Q286" s="167"/>
      <c r="R286" s="167"/>
      <c r="S286" s="167"/>
      <c r="T286" s="167"/>
      <c r="U286" s="167"/>
      <c r="V286" s="167"/>
      <c r="W286" s="167"/>
      <c r="X286" s="167"/>
      <c r="Y286" s="30"/>
      <c r="Z286" s="30"/>
    </row>
    <row r="287" spans="2:28" ht="12.75" customHeight="1" x14ac:dyDescent="0.3">
      <c r="B287" s="162"/>
      <c r="C287" s="168"/>
      <c r="D287" s="161"/>
      <c r="E287" s="161"/>
      <c r="F287" s="222" t="s">
        <v>220</v>
      </c>
      <c r="G287" s="223"/>
      <c r="H287" s="224"/>
      <c r="I287" s="222" t="s">
        <v>663</v>
      </c>
      <c r="J287" s="225"/>
      <c r="K287" s="226"/>
      <c r="L287" s="222" t="s">
        <v>532</v>
      </c>
      <c r="M287" s="225"/>
      <c r="N287" s="226"/>
      <c r="O287" s="222" t="s">
        <v>526</v>
      </c>
      <c r="P287" s="225"/>
      <c r="Q287" s="226"/>
      <c r="R287" s="222" t="s">
        <v>287</v>
      </c>
      <c r="S287" s="225"/>
      <c r="T287" s="226"/>
      <c r="U287" s="413" t="s">
        <v>527</v>
      </c>
      <c r="V287" s="226"/>
      <c r="W287" s="226"/>
      <c r="X287" s="161" t="s">
        <v>213</v>
      </c>
      <c r="Y287" s="30"/>
      <c r="Z287" s="30"/>
    </row>
    <row r="288" spans="2:28" ht="12.75" customHeight="1" x14ac:dyDescent="0.3">
      <c r="B288" s="159" t="s">
        <v>0</v>
      </c>
      <c r="C288" s="170" t="s">
        <v>166</v>
      </c>
      <c r="D288" s="160" t="s">
        <v>2</v>
      </c>
      <c r="E288" s="160" t="s">
        <v>3</v>
      </c>
      <c r="F288" s="217" t="s">
        <v>523</v>
      </c>
      <c r="G288" s="218"/>
      <c r="H288" s="219"/>
      <c r="I288" s="217" t="s">
        <v>525</v>
      </c>
      <c r="J288" s="220"/>
      <c r="K288" s="221"/>
      <c r="L288" s="217" t="s">
        <v>664</v>
      </c>
      <c r="M288" s="220"/>
      <c r="N288" s="221"/>
      <c r="O288" s="217" t="s">
        <v>529</v>
      </c>
      <c r="P288" s="220"/>
      <c r="Q288" s="221"/>
      <c r="R288" s="217" t="s">
        <v>530</v>
      </c>
      <c r="S288" s="220"/>
      <c r="T288" s="221"/>
      <c r="U288" s="414" t="s">
        <v>528</v>
      </c>
      <c r="V288" s="255"/>
      <c r="W288" s="415"/>
      <c r="X288" s="160" t="s">
        <v>9</v>
      </c>
      <c r="Y288" s="519" t="s">
        <v>223</v>
      </c>
      <c r="Z288" s="521" t="s">
        <v>4</v>
      </c>
    </row>
    <row r="289" spans="2:28" ht="12.75" customHeight="1" x14ac:dyDescent="0.3">
      <c r="B289" s="163"/>
      <c r="C289" s="169"/>
      <c r="D289" s="157"/>
      <c r="E289" s="157"/>
      <c r="F289" s="131" t="s">
        <v>33</v>
      </c>
      <c r="G289" s="131" t="s">
        <v>34</v>
      </c>
      <c r="H289" s="132" t="s">
        <v>35</v>
      </c>
      <c r="I289" s="131" t="s">
        <v>33</v>
      </c>
      <c r="J289" s="131" t="s">
        <v>34</v>
      </c>
      <c r="K289" s="132" t="s">
        <v>35</v>
      </c>
      <c r="L289" s="131" t="s">
        <v>33</v>
      </c>
      <c r="M289" s="131" t="s">
        <v>34</v>
      </c>
      <c r="N289" s="132" t="s">
        <v>35</v>
      </c>
      <c r="O289" s="131" t="s">
        <v>33</v>
      </c>
      <c r="P289" s="131" t="s">
        <v>34</v>
      </c>
      <c r="Q289" s="132" t="s">
        <v>35</v>
      </c>
      <c r="R289" s="131" t="s">
        <v>33</v>
      </c>
      <c r="S289" s="131" t="s">
        <v>34</v>
      </c>
      <c r="T289" s="132" t="s">
        <v>35</v>
      </c>
      <c r="U289" s="131" t="s">
        <v>33</v>
      </c>
      <c r="V289" s="131" t="s">
        <v>34</v>
      </c>
      <c r="W289" s="132" t="s">
        <v>35</v>
      </c>
      <c r="X289" s="157"/>
      <c r="Y289" s="520"/>
      <c r="Z289" s="522"/>
    </row>
    <row r="290" spans="2:28" ht="12.75" customHeight="1" x14ac:dyDescent="0.3">
      <c r="B290" s="133">
        <v>1</v>
      </c>
      <c r="C290" s="134" t="s">
        <v>358</v>
      </c>
      <c r="D290" s="227">
        <v>7</v>
      </c>
      <c r="E290" s="227"/>
      <c r="F290" s="135">
        <f>IFERROR(VLOOKUP(C290,'01_RS ALCARRIA'!$F$50:$R$55,13,FALSE),"")</f>
        <v>25</v>
      </c>
      <c r="G290" s="135">
        <f>IFERROR(VLOOKUP(C290,'01_RS ALCARRIA'!$F$50:$T$55,15,FALSE),"")</f>
        <v>10</v>
      </c>
      <c r="H290" s="138">
        <f>(F290+G290)*2</f>
        <v>70</v>
      </c>
      <c r="I290" s="135">
        <f>IFERROR(VLOOKUP(C290,'02_TCT GUADAMUR'!$F$50:$R$55,13,FALSE),"")</f>
        <v>25</v>
      </c>
      <c r="J290" s="135">
        <f>IFERROR(VLOOKUP(C290,'02_TCT GUADAMUR'!$F$50:$T$55,15,FALSE),"")</f>
        <v>10</v>
      </c>
      <c r="K290" s="138">
        <f>(I290+J290)</f>
        <v>35</v>
      </c>
      <c r="L290" s="135">
        <f>IFERROR(VLOOKUP(C290,'03_TCT MAQUEDA'!$F$50:$R$55,13,FALSE),"")</f>
        <v>25</v>
      </c>
      <c r="M290" s="135">
        <f>IFERROR(VLOOKUP(C290,'03_TCT MAQUEDA'!$F$50:$T$55,15,FALSE),"")</f>
        <v>10</v>
      </c>
      <c r="N290" s="138">
        <f>(L290+M290)</f>
        <v>35</v>
      </c>
      <c r="O290" s="135">
        <f>IFERROR(VLOOKUP(C290,'04_RALLYE CAM'!$F$50:$R$54,13,FALSE),"")</f>
        <v>25</v>
      </c>
      <c r="P290" s="451">
        <f>IFERROR(VLOOKUP(C290,'04_RALLYE CAM'!$F$50:$T$54,15,FALSE),"")</f>
        <v>10</v>
      </c>
      <c r="Q290" s="138">
        <f>(O290+P290)*3</f>
        <v>105</v>
      </c>
      <c r="R290" s="135">
        <f>IFERROR(VLOOKUP(C290,'05_RS NAVALCARNERO'!$F$38:$R$40,13,FALSE),"")</f>
        <v>25</v>
      </c>
      <c r="S290" s="451">
        <f>IFERROR(VLOOKUP(C290,'05_RS NAVALCARNERO'!$F$38:$T$40,15,FALSE),"")</f>
        <v>10</v>
      </c>
      <c r="T290" s="138">
        <f>(R290+S290)*2</f>
        <v>70</v>
      </c>
      <c r="U290" s="135">
        <f>IFERROR(VLOOKUP(C290,'06_TCT NUEVO BAZTÁN'!$F$38:$R$40,13,FALSE),"")</f>
        <v>25</v>
      </c>
      <c r="V290" s="451">
        <f>IFERROR(VLOOKUP(C290,'06_TCT NUEVO BAZTÁN'!$F$38:$T$40,15,FALSE),"")</f>
        <v>10</v>
      </c>
      <c r="W290" s="138">
        <f>(U290+V290)*2</f>
        <v>70</v>
      </c>
      <c r="X290" s="139">
        <f>H290+K290+N290+Q290+T290+W290</f>
        <v>385</v>
      </c>
      <c r="Y290" s="140" t="str">
        <f t="shared" ref="Y290:Y295" si="271">IF(Z290&gt;=3,"Sí","No")</f>
        <v>Sí</v>
      </c>
      <c r="Z290" s="141">
        <f>COUNTA(H290,K290,N290,Q290,T290,W290)</f>
        <v>6</v>
      </c>
    </row>
    <row r="291" spans="2:28" ht="13" x14ac:dyDescent="0.3">
      <c r="B291" s="133">
        <v>2</v>
      </c>
      <c r="C291" s="134" t="s">
        <v>360</v>
      </c>
      <c r="D291" s="227">
        <v>7</v>
      </c>
      <c r="E291" s="227"/>
      <c r="F291" s="135">
        <f>IFERROR(VLOOKUP(C291,'01_RS ALCARRIA'!$F$50:$R$55,13,FALSE),"")</f>
        <v>20</v>
      </c>
      <c r="G291" s="135">
        <f>IFERROR(VLOOKUP(C291,'01_RS ALCARRIA'!$F$50:$T$55,15,FALSE),"")</f>
        <v>8</v>
      </c>
      <c r="H291" s="138">
        <f t="shared" ref="H291:H295" si="272">(F291+G291)*2</f>
        <v>56</v>
      </c>
      <c r="I291" s="135">
        <f>IFERROR(VLOOKUP(C291,'02_TCT GUADAMUR'!$F$50:$R$55,13,FALSE),"")</f>
        <v>20</v>
      </c>
      <c r="J291" s="135">
        <f>IFERROR(VLOOKUP(C291,'02_TCT GUADAMUR'!$F$50:$T$55,15,FALSE),"")</f>
        <v>8</v>
      </c>
      <c r="K291" s="138">
        <f t="shared" ref="K291:K295" si="273">(I291+J291)</f>
        <v>28</v>
      </c>
      <c r="L291" s="135">
        <v>0</v>
      </c>
      <c r="M291" s="135">
        <v>0</v>
      </c>
      <c r="N291" s="138">
        <f t="shared" ref="N291:N295" si="274">(L291+M291)</f>
        <v>0</v>
      </c>
      <c r="O291" s="135" t="str">
        <f>IFERROR(VLOOKUP(C291,'04_RALLYE CAM'!$F$50:$R$54,13,FALSE),"")</f>
        <v/>
      </c>
      <c r="P291" s="451" t="str">
        <f>IFERROR(VLOOKUP(C291,'04_RALLYE CAM'!$F$50:$T$54,15,FALSE),"")</f>
        <v/>
      </c>
      <c r="Q291" s="138" t="e">
        <f t="shared" ref="Q291:Q295" si="275">(O291+P291)*3</f>
        <v>#VALUE!</v>
      </c>
      <c r="R291" s="135" t="str">
        <f>IFERROR(VLOOKUP(C291,'05_RS NAVALCARNERO'!$F$38:$R$40,13,FALSE),"")</f>
        <v/>
      </c>
      <c r="S291" s="451" t="str">
        <f>IFERROR(VLOOKUP(C291,'05_RS NAVALCARNERO'!$F$38:$T$40,15,FALSE),"")</f>
        <v/>
      </c>
      <c r="T291" s="138" t="e">
        <f t="shared" ref="T291:T295" si="276">(R291+S291)*2</f>
        <v>#VALUE!</v>
      </c>
      <c r="U291" s="135" t="str">
        <f>IFERROR(VLOOKUP(C291,'06_TCT NUEVO BAZTÁN'!$F$38:$R$40,13,FALSE),"")</f>
        <v/>
      </c>
      <c r="V291" s="451" t="str">
        <f>IFERROR(VLOOKUP(C291,'06_TCT NUEVO BAZTÁN'!$F$38:$T$40,15,FALSE),"")</f>
        <v/>
      </c>
      <c r="W291" s="138" t="e">
        <f t="shared" ref="W291:W295" si="277">(U291+V291)*2</f>
        <v>#VALUE!</v>
      </c>
      <c r="X291" s="139" t="e">
        <f t="shared" ref="X291:X295" si="278">H291+K291+N291+Q291+T291+W291</f>
        <v>#VALUE!</v>
      </c>
      <c r="Y291" s="140" t="str">
        <f t="shared" si="271"/>
        <v>Sí</v>
      </c>
      <c r="Z291" s="141">
        <f t="shared" ref="Z291:Z295" si="279">COUNTA(H291,K291,N291,Q291,T291,W291)</f>
        <v>6</v>
      </c>
    </row>
    <row r="292" spans="2:28" ht="13" x14ac:dyDescent="0.3">
      <c r="B292" s="133">
        <v>3</v>
      </c>
      <c r="C292" s="134" t="s">
        <v>641</v>
      </c>
      <c r="D292" s="227">
        <v>7</v>
      </c>
      <c r="E292" s="227"/>
      <c r="F292" s="135">
        <f>IFERROR(VLOOKUP(C292,'01_RS ALCARRIA'!$F$50:$R$55,13,FALSE),"")</f>
        <v>17</v>
      </c>
      <c r="G292" s="135">
        <f>IFERROR(VLOOKUP(C292,'01_RS ALCARRIA'!$F$50:$T$55,15,FALSE),"")</f>
        <v>6</v>
      </c>
      <c r="H292" s="138">
        <f t="shared" si="272"/>
        <v>46</v>
      </c>
      <c r="I292" s="135" t="str">
        <f>IFERROR(VLOOKUP(C292,'02_TCT GUADAMUR'!$F$50:$R$55,13,FALSE),"")</f>
        <v/>
      </c>
      <c r="J292" s="135" t="str">
        <f>IFERROR(VLOOKUP(C292,'02_TCT GUADAMUR'!$F$50:$T$55,15,FALSE),"")</f>
        <v/>
      </c>
      <c r="K292" s="138" t="e">
        <f t="shared" si="273"/>
        <v>#VALUE!</v>
      </c>
      <c r="L292" s="135" t="str">
        <f>IFERROR(VLOOKUP(C292,'03_TCT MAQUEDA'!$F$50:$R$55,13,FALSE),"")</f>
        <v/>
      </c>
      <c r="M292" s="135" t="str">
        <f>IFERROR(VLOOKUP(C292,'03_TCT MAQUEDA'!$F$50:$T$55,15,FALSE),"")</f>
        <v/>
      </c>
      <c r="N292" s="138" t="e">
        <f t="shared" si="274"/>
        <v>#VALUE!</v>
      </c>
      <c r="O292" s="135" t="str">
        <f>IFERROR(VLOOKUP(C292,'04_RALLYE CAM'!$F$50:$R$54,13,FALSE),"")</f>
        <v/>
      </c>
      <c r="P292" s="451" t="str">
        <f>IFERROR(VLOOKUP(C292,'04_RALLYE CAM'!$F$50:$T$54,15,FALSE),"")</f>
        <v/>
      </c>
      <c r="Q292" s="138" t="e">
        <f t="shared" si="275"/>
        <v>#VALUE!</v>
      </c>
      <c r="R292" s="135" t="str">
        <f>IFERROR(VLOOKUP(C292,'05_RS NAVALCARNERO'!$F$38:$R$40,13,FALSE),"")</f>
        <v/>
      </c>
      <c r="S292" s="451" t="str">
        <f>IFERROR(VLOOKUP(C292,'05_RS NAVALCARNERO'!$F$38:$T$40,15,FALSE),"")</f>
        <v/>
      </c>
      <c r="T292" s="138" t="e">
        <f t="shared" si="276"/>
        <v>#VALUE!</v>
      </c>
      <c r="U292" s="135" t="str">
        <f>IFERROR(VLOOKUP(C292,'06_TCT NUEVO BAZTÁN'!$F$38:$R$40,13,FALSE),"")</f>
        <v/>
      </c>
      <c r="V292" s="451" t="str">
        <f>IFERROR(VLOOKUP(C292,'06_TCT NUEVO BAZTÁN'!$F$38:$T$40,15,FALSE),"")</f>
        <v/>
      </c>
      <c r="W292" s="138" t="e">
        <f t="shared" si="277"/>
        <v>#VALUE!</v>
      </c>
      <c r="X292" s="139" t="e">
        <f t="shared" si="278"/>
        <v>#VALUE!</v>
      </c>
      <c r="Y292" s="140" t="str">
        <f t="shared" si="271"/>
        <v>Sí</v>
      </c>
      <c r="Z292" s="141">
        <f t="shared" si="279"/>
        <v>6</v>
      </c>
    </row>
    <row r="293" spans="2:28" ht="13" x14ac:dyDescent="0.3">
      <c r="B293" s="133">
        <v>4</v>
      </c>
      <c r="C293" s="134" t="s">
        <v>426</v>
      </c>
      <c r="D293" s="227">
        <v>7</v>
      </c>
      <c r="E293" s="227"/>
      <c r="F293" s="135">
        <f>IFERROR(VLOOKUP(C293,'01_RS ALCARRIA'!$F$50:$R$55,13,FALSE),"")</f>
        <v>15</v>
      </c>
      <c r="G293" s="135">
        <f>IFERROR(VLOOKUP(C293,'01_RS ALCARRIA'!$F$50:$T$55,15,FALSE),"")</f>
        <v>5</v>
      </c>
      <c r="H293" s="138">
        <f t="shared" si="272"/>
        <v>40</v>
      </c>
      <c r="I293" s="135" t="str">
        <f>IFERROR(VLOOKUP(C293,'02_TCT GUADAMUR'!$F$50:$R$55,13,FALSE),"")</f>
        <v/>
      </c>
      <c r="J293" s="135" t="str">
        <f>IFERROR(VLOOKUP(C293,'02_TCT GUADAMUR'!$F$50:$T$55,15,FALSE),"")</f>
        <v/>
      </c>
      <c r="K293" s="138" t="e">
        <f t="shared" si="273"/>
        <v>#VALUE!</v>
      </c>
      <c r="L293" s="135">
        <f>IFERROR(VLOOKUP(C293,'03_TCT MAQUEDA'!$F$50:$R$55,13,FALSE),"")</f>
        <v>20</v>
      </c>
      <c r="M293" s="135">
        <f>IFERROR(VLOOKUP(C293,'03_TCT MAQUEDA'!$F$50:$T$55,15,FALSE),"")</f>
        <v>8</v>
      </c>
      <c r="N293" s="138">
        <f t="shared" si="274"/>
        <v>28</v>
      </c>
      <c r="O293" s="135" t="str">
        <f>IFERROR(VLOOKUP(C293,'04_RALLYE CAM'!$F$50:$R$54,13,FALSE),"")</f>
        <v/>
      </c>
      <c r="P293" s="451" t="str">
        <f>IFERROR(VLOOKUP(C293,'04_RALLYE CAM'!$F$50:$T$54,15,FALSE),"")</f>
        <v/>
      </c>
      <c r="Q293" s="138" t="e">
        <f t="shared" si="275"/>
        <v>#VALUE!</v>
      </c>
      <c r="R293" s="135" t="str">
        <f>IFERROR(VLOOKUP(C293,'05_RS NAVALCARNERO'!$F$38:$R$40,13,FALSE),"")</f>
        <v/>
      </c>
      <c r="S293" s="451" t="str">
        <f>IFERROR(VLOOKUP(C293,'05_RS NAVALCARNERO'!$F$38:$T$40,15,FALSE),"")</f>
        <v/>
      </c>
      <c r="T293" s="138" t="e">
        <f t="shared" si="276"/>
        <v>#VALUE!</v>
      </c>
      <c r="U293" s="135" t="str">
        <f>IFERROR(VLOOKUP(C293,'06_TCT NUEVO BAZTÁN'!$F$38:$R$40,13,FALSE),"")</f>
        <v/>
      </c>
      <c r="V293" s="451" t="str">
        <f>IFERROR(VLOOKUP(C293,'06_TCT NUEVO BAZTÁN'!$F$38:$T$40,15,FALSE),"")</f>
        <v/>
      </c>
      <c r="W293" s="138" t="e">
        <f t="shared" si="277"/>
        <v>#VALUE!</v>
      </c>
      <c r="X293" s="139" t="e">
        <f t="shared" si="278"/>
        <v>#VALUE!</v>
      </c>
      <c r="Y293" s="140" t="str">
        <f t="shared" si="271"/>
        <v>Sí</v>
      </c>
      <c r="Z293" s="141">
        <f t="shared" si="279"/>
        <v>6</v>
      </c>
    </row>
    <row r="294" spans="2:28" ht="13" x14ac:dyDescent="0.3">
      <c r="B294" s="133">
        <v>5</v>
      </c>
      <c r="C294" s="134" t="s">
        <v>398</v>
      </c>
      <c r="D294" s="227">
        <v>7</v>
      </c>
      <c r="E294" s="227"/>
      <c r="F294" s="135">
        <f>IFERROR(VLOOKUP(C294,'01_RS ALCARRIA'!$F$50:$R$55,13,FALSE),"")</f>
        <v>12</v>
      </c>
      <c r="G294" s="135">
        <f>IFERROR(VLOOKUP(C294,'01_RS ALCARRIA'!$F$50:$T$55,15,FALSE),"")</f>
        <v>3</v>
      </c>
      <c r="H294" s="138">
        <f t="shared" si="272"/>
        <v>30</v>
      </c>
      <c r="I294" s="135" t="str">
        <f>IFERROR(VLOOKUP(C294,'02_TCT GUADAMUR'!$F$50:$R$55,13,FALSE),"")</f>
        <v/>
      </c>
      <c r="J294" s="135" t="str">
        <f>IFERROR(VLOOKUP(C294,'02_TCT GUADAMUR'!$F$50:$T$55,15,FALSE),"")</f>
        <v/>
      </c>
      <c r="K294" s="138" t="e">
        <f t="shared" si="273"/>
        <v>#VALUE!</v>
      </c>
      <c r="L294" s="135" t="str">
        <f>IFERROR(VLOOKUP(C294,'03_TCT MAQUEDA'!$F$50:$R$55,13,FALSE),"")</f>
        <v/>
      </c>
      <c r="M294" s="135" t="str">
        <f>IFERROR(VLOOKUP(C294,'03_TCT MAQUEDA'!$F$50:$T$55,15,FALSE),"")</f>
        <v/>
      </c>
      <c r="N294" s="138" t="e">
        <f t="shared" si="274"/>
        <v>#VALUE!</v>
      </c>
      <c r="O294" s="135" t="str">
        <f>IFERROR(VLOOKUP(C294,'04_RALLYE CAM'!$F$50:$R$54,13,FALSE),"")</f>
        <v/>
      </c>
      <c r="P294" s="451" t="str">
        <f>IFERROR(VLOOKUP(C294,'04_RALLYE CAM'!$F$50:$T$54,15,FALSE),"")</f>
        <v/>
      </c>
      <c r="Q294" s="138" t="e">
        <f t="shared" si="275"/>
        <v>#VALUE!</v>
      </c>
      <c r="R294" s="135" t="str">
        <f>IFERROR(VLOOKUP(C294,'05_RS NAVALCARNERO'!$F$38:$R$40,13,FALSE),"")</f>
        <v/>
      </c>
      <c r="S294" s="451" t="str">
        <f>IFERROR(VLOOKUP(C294,'05_RS NAVALCARNERO'!$F$38:$T$40,15,FALSE),"")</f>
        <v/>
      </c>
      <c r="T294" s="138" t="e">
        <f t="shared" si="276"/>
        <v>#VALUE!</v>
      </c>
      <c r="U294" s="135" t="str">
        <f>IFERROR(VLOOKUP(C294,'06_TCT NUEVO BAZTÁN'!$F$38:$R$40,13,FALSE),"")</f>
        <v/>
      </c>
      <c r="V294" s="451" t="str">
        <f>IFERROR(VLOOKUP(C294,'06_TCT NUEVO BAZTÁN'!$F$38:$T$40,15,FALSE),"")</f>
        <v/>
      </c>
      <c r="W294" s="138" t="e">
        <f t="shared" si="277"/>
        <v>#VALUE!</v>
      </c>
      <c r="X294" s="139" t="e">
        <f t="shared" si="278"/>
        <v>#VALUE!</v>
      </c>
      <c r="Y294" s="140" t="str">
        <f t="shared" si="271"/>
        <v>Sí</v>
      </c>
      <c r="Z294" s="141">
        <f t="shared" si="279"/>
        <v>6</v>
      </c>
    </row>
    <row r="295" spans="2:28" ht="13" x14ac:dyDescent="0.3">
      <c r="B295" s="133">
        <v>6</v>
      </c>
      <c r="C295" s="134" t="s">
        <v>645</v>
      </c>
      <c r="D295" s="227">
        <v>7</v>
      </c>
      <c r="E295" s="227"/>
      <c r="F295" s="135" t="str">
        <f>IFERROR(VLOOKUP(C295,'01_RS ALCARRIA'!$F$50:$R$55,13,FALSE),"")</f>
        <v/>
      </c>
      <c r="G295" s="135" t="str">
        <f>IFERROR(VLOOKUP(C295,'01_RS ALCARRIA'!$F$50:$T$55,15,FALSE),"")</f>
        <v/>
      </c>
      <c r="H295" s="138" t="e">
        <f t="shared" si="272"/>
        <v>#VALUE!</v>
      </c>
      <c r="I295" s="135">
        <f>IFERROR(VLOOKUP(C295,'02_TCT GUADAMUR'!$F$50:$R$55,13,FALSE),"")</f>
        <v>17</v>
      </c>
      <c r="J295" s="135">
        <f>IFERROR(VLOOKUP(C295,'02_TCT GUADAMUR'!$F$50:$T$55,15,FALSE),"")</f>
        <v>6</v>
      </c>
      <c r="K295" s="138">
        <f t="shared" si="273"/>
        <v>23</v>
      </c>
      <c r="L295" s="135" t="str">
        <f>IFERROR(VLOOKUP(C295,'03_TCT MAQUEDA'!$F$50:$R$55,13,FALSE),"")</f>
        <v/>
      </c>
      <c r="M295" s="135" t="str">
        <f>IFERROR(VLOOKUP(C295,'03_TCT MAQUEDA'!$F$50:$T$55,15,FALSE),"")</f>
        <v/>
      </c>
      <c r="N295" s="138" t="e">
        <f t="shared" si="274"/>
        <v>#VALUE!</v>
      </c>
      <c r="O295" s="135" t="str">
        <f>IFERROR(VLOOKUP(C295,'04_RALLYE CAM'!$F$50:$R$54,13,FALSE),"")</f>
        <v/>
      </c>
      <c r="P295" s="451" t="str">
        <f>IFERROR(VLOOKUP(C295,'04_RALLYE CAM'!$F$50:$T$54,15,FALSE),"")</f>
        <v/>
      </c>
      <c r="Q295" s="138" t="e">
        <f t="shared" si="275"/>
        <v>#VALUE!</v>
      </c>
      <c r="R295" s="135" t="str">
        <f>IFERROR(VLOOKUP(C295,'05_RS NAVALCARNERO'!$F$38:$R$40,13,FALSE),"")</f>
        <v/>
      </c>
      <c r="S295" s="451" t="str">
        <f>IFERROR(VLOOKUP(C295,'05_RS NAVALCARNERO'!$F$38:$T$40,15,FALSE),"")</f>
        <v/>
      </c>
      <c r="T295" s="138" t="e">
        <f t="shared" si="276"/>
        <v>#VALUE!</v>
      </c>
      <c r="U295" s="135" t="str">
        <f>IFERROR(VLOOKUP(C295,'06_TCT NUEVO BAZTÁN'!$F$38:$R$40,13,FALSE),"")</f>
        <v/>
      </c>
      <c r="V295" s="451" t="str">
        <f>IFERROR(VLOOKUP(C295,'06_TCT NUEVO BAZTÁN'!$F$38:$T$40,15,FALSE),"")</f>
        <v/>
      </c>
      <c r="W295" s="138" t="e">
        <f t="shared" si="277"/>
        <v>#VALUE!</v>
      </c>
      <c r="X295" s="139" t="e">
        <f t="shared" si="278"/>
        <v>#VALUE!</v>
      </c>
      <c r="Y295" s="140" t="str">
        <f t="shared" si="271"/>
        <v>Sí</v>
      </c>
      <c r="Z295" s="141">
        <f t="shared" si="279"/>
        <v>6</v>
      </c>
    </row>
    <row r="296" spans="2:28" ht="13" x14ac:dyDescent="0.3">
      <c r="B296" s="133">
        <v>6</v>
      </c>
      <c r="C296" s="134" t="s">
        <v>706</v>
      </c>
      <c r="D296" s="227">
        <v>7</v>
      </c>
      <c r="E296" s="227"/>
      <c r="F296" s="135" t="str">
        <f>IFERROR(VLOOKUP(C296,'01_RS ALCARRIA'!$F$50:$R$55,13,FALSE),"")</f>
        <v/>
      </c>
      <c r="G296" s="135" t="str">
        <f>IFERROR(VLOOKUP(C296,'01_RS ALCARRIA'!$F$50:$T$55,15,FALSE),"")</f>
        <v/>
      </c>
      <c r="H296" s="138" t="e">
        <f t="shared" ref="H296" si="280">(F296+G296)*2</f>
        <v>#VALUE!</v>
      </c>
      <c r="I296" s="135" t="str">
        <f>IFERROR(VLOOKUP(C296,'02_TCT GUADAMUR'!$F$50:$R$55,13,FALSE),"")</f>
        <v/>
      </c>
      <c r="J296" s="135" t="str">
        <f>IFERROR(VLOOKUP(C296,'02_TCT GUADAMUR'!$F$50:$T$55,15,FALSE),"")</f>
        <v/>
      </c>
      <c r="K296" s="138" t="e">
        <f t="shared" ref="K296" si="281">(I296+J296)</f>
        <v>#VALUE!</v>
      </c>
      <c r="L296" s="135">
        <f>IFERROR(VLOOKUP(C296,'03_TCT MAQUEDA'!$F$50:$R$55,13,FALSE),"")</f>
        <v>17</v>
      </c>
      <c r="M296" s="135">
        <f>IFERROR(VLOOKUP(C296,'03_TCT MAQUEDA'!$F$50:$T$55,15,FALSE),"")</f>
        <v>6</v>
      </c>
      <c r="N296" s="138">
        <f t="shared" ref="N296" si="282">(L296+M296)</f>
        <v>23</v>
      </c>
      <c r="O296" s="135" t="str">
        <f>IFERROR(VLOOKUP(C296,'04_RALLYE CAM'!$F$50:$R$54,13,FALSE),"")</f>
        <v/>
      </c>
      <c r="P296" s="451" t="str">
        <f>IFERROR(VLOOKUP(C296,'04_RALLYE CAM'!$F$50:$T$54,15,FALSE),"")</f>
        <v/>
      </c>
      <c r="Q296" s="138" t="e">
        <f t="shared" ref="Q296" si="283">(O296+P296)*3</f>
        <v>#VALUE!</v>
      </c>
      <c r="R296" s="135" t="str">
        <f>IFERROR(VLOOKUP(C296,'05_RS NAVALCARNERO'!$F$38:$R$40,13,FALSE),"")</f>
        <v/>
      </c>
      <c r="S296" s="451" t="str">
        <f>IFERROR(VLOOKUP(C296,'05_RS NAVALCARNERO'!$F$38:$T$40,15,FALSE),"")</f>
        <v/>
      </c>
      <c r="T296" s="138" t="e">
        <f t="shared" ref="T296" si="284">(R296+S296)*2</f>
        <v>#VALUE!</v>
      </c>
      <c r="U296" s="135" t="str">
        <f>IFERROR(VLOOKUP(C296,'06_TCT NUEVO BAZTÁN'!$F$38:$R$40,13,FALSE),"")</f>
        <v/>
      </c>
      <c r="V296" s="451" t="str">
        <f>IFERROR(VLOOKUP(C296,'06_TCT NUEVO BAZTÁN'!$F$38:$T$40,15,FALSE),"")</f>
        <v/>
      </c>
      <c r="W296" s="138" t="e">
        <f t="shared" ref="W296" si="285">(U296+V296)*2</f>
        <v>#VALUE!</v>
      </c>
      <c r="X296" s="139" t="e">
        <f t="shared" ref="X296" si="286">H296+K296+N296+Q296+T296+W296</f>
        <v>#VALUE!</v>
      </c>
      <c r="Y296" s="140" t="str">
        <f t="shared" ref="Y296" si="287">IF(Z296&gt;=3,"Sí","No")</f>
        <v>Sí</v>
      </c>
      <c r="Z296" s="141">
        <f t="shared" ref="Z296" si="288">COUNTA(H296,K296,N296,Q296,T296,W296)</f>
        <v>6</v>
      </c>
    </row>
    <row r="297" spans="2:28" ht="13" x14ac:dyDescent="0.3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149"/>
      <c r="Z297" s="127"/>
    </row>
    <row r="298" spans="2:28" ht="12.75" customHeight="1" x14ac:dyDescent="0.3">
      <c r="B298" s="1"/>
      <c r="C298" s="235"/>
      <c r="D298" s="284"/>
      <c r="E298" s="285" t="s">
        <v>534</v>
      </c>
      <c r="F298" s="147"/>
      <c r="G298" s="147"/>
      <c r="H298" s="147"/>
      <c r="I298" s="147"/>
      <c r="J298" s="147"/>
      <c r="K298" s="147"/>
      <c r="L298" s="147"/>
      <c r="M298" s="147"/>
      <c r="N298" s="147"/>
      <c r="O298" s="147"/>
      <c r="P298" s="147"/>
      <c r="Q298" s="147"/>
      <c r="R298" s="147"/>
      <c r="S298" s="147"/>
      <c r="T298" s="147"/>
      <c r="U298" s="147"/>
      <c r="V298" s="147"/>
      <c r="W298" s="147"/>
      <c r="X298" s="147"/>
      <c r="Y298" s="147"/>
      <c r="Z298" s="147"/>
      <c r="AA298" s="148"/>
      <c r="AB298" s="262"/>
    </row>
    <row r="299" spans="2:28" ht="13" x14ac:dyDescent="0.3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149"/>
      <c r="Z299" s="127"/>
    </row>
    <row r="300" spans="2:28" ht="39" customHeight="1" x14ac:dyDescent="0.55000000000000004">
      <c r="B300" s="164" t="s">
        <v>519</v>
      </c>
      <c r="C300" s="165"/>
      <c r="D300" s="165"/>
      <c r="E300" s="165"/>
      <c r="F300" s="165"/>
      <c r="G300" s="165"/>
      <c r="H300" s="165"/>
      <c r="I300" s="165"/>
      <c r="J300" s="165"/>
      <c r="K300" s="165"/>
      <c r="L300" s="165"/>
      <c r="M300" s="165"/>
      <c r="N300" s="165"/>
      <c r="O300" s="165"/>
      <c r="P300" s="165"/>
      <c r="Q300" s="165"/>
      <c r="R300" s="165"/>
      <c r="S300" s="165"/>
      <c r="T300" s="165"/>
      <c r="U300" s="165"/>
      <c r="V300" s="147"/>
      <c r="W300" s="147"/>
      <c r="X300" s="147"/>
    </row>
    <row r="301" spans="2:28" ht="37.5" customHeight="1" x14ac:dyDescent="0.3">
      <c r="B301" s="166" t="s">
        <v>224</v>
      </c>
      <c r="C301" s="167"/>
      <c r="D301" s="167"/>
      <c r="E301" s="167"/>
      <c r="F301" s="167"/>
      <c r="G301" s="167"/>
      <c r="H301" s="167"/>
      <c r="I301" s="167"/>
      <c r="J301" s="167"/>
      <c r="K301" s="167"/>
      <c r="L301" s="167"/>
      <c r="M301" s="167"/>
      <c r="N301" s="167"/>
      <c r="O301" s="167"/>
      <c r="P301" s="167"/>
      <c r="Q301" s="167"/>
      <c r="R301" s="167"/>
      <c r="S301" s="167"/>
      <c r="T301" s="167"/>
      <c r="U301" s="167"/>
      <c r="V301" s="147"/>
      <c r="W301" s="147"/>
      <c r="X301" s="147"/>
      <c r="Y301" s="30"/>
      <c r="Z301" s="30"/>
    </row>
    <row r="302" spans="2:28" ht="12.75" customHeight="1" x14ac:dyDescent="0.3">
      <c r="B302" s="162"/>
      <c r="C302" s="168"/>
      <c r="D302" s="161"/>
      <c r="E302" s="161"/>
      <c r="F302" s="222" t="s">
        <v>220</v>
      </c>
      <c r="G302" s="223"/>
      <c r="H302" s="224"/>
      <c r="I302" s="222" t="s">
        <v>663</v>
      </c>
      <c r="J302" s="225"/>
      <c r="K302" s="226"/>
      <c r="L302" s="222" t="s">
        <v>532</v>
      </c>
      <c r="M302" s="225"/>
      <c r="N302" s="226"/>
      <c r="O302" s="222" t="s">
        <v>526</v>
      </c>
      <c r="P302" s="225"/>
      <c r="Q302" s="226"/>
      <c r="R302" s="413" t="s">
        <v>527</v>
      </c>
      <c r="S302" s="226"/>
      <c r="T302" s="226"/>
      <c r="U302" s="161" t="s">
        <v>213</v>
      </c>
      <c r="V302" s="147"/>
      <c r="W302" s="147"/>
      <c r="X302" s="147"/>
      <c r="Y302" s="30"/>
      <c r="Z302" s="30"/>
    </row>
    <row r="303" spans="2:28" ht="12.75" customHeight="1" x14ac:dyDescent="0.3">
      <c r="B303" s="159" t="s">
        <v>0</v>
      </c>
      <c r="C303" s="170" t="s">
        <v>1</v>
      </c>
      <c r="D303" s="160" t="s">
        <v>2</v>
      </c>
      <c r="E303" s="160" t="s">
        <v>3</v>
      </c>
      <c r="F303" s="217" t="s">
        <v>523</v>
      </c>
      <c r="G303" s="218"/>
      <c r="H303" s="219"/>
      <c r="I303" s="217" t="s">
        <v>525</v>
      </c>
      <c r="J303" s="220"/>
      <c r="K303" s="221"/>
      <c r="L303" s="217" t="s">
        <v>664</v>
      </c>
      <c r="M303" s="220"/>
      <c r="N303" s="221"/>
      <c r="O303" s="217" t="s">
        <v>529</v>
      </c>
      <c r="P303" s="220"/>
      <c r="Q303" s="221"/>
      <c r="R303" s="414" t="s">
        <v>528</v>
      </c>
      <c r="S303" s="255"/>
      <c r="T303" s="415"/>
      <c r="U303" s="160" t="s">
        <v>9</v>
      </c>
      <c r="V303" s="147"/>
      <c r="W303" s="147"/>
      <c r="X303" s="147"/>
      <c r="Y303" s="519" t="s">
        <v>223</v>
      </c>
      <c r="Z303" s="521" t="s">
        <v>4</v>
      </c>
    </row>
    <row r="304" spans="2:28" ht="12.75" customHeight="1" x14ac:dyDescent="0.3">
      <c r="B304" s="163"/>
      <c r="C304" s="169"/>
      <c r="D304" s="157"/>
      <c r="E304" s="157"/>
      <c r="F304" s="131" t="s">
        <v>33</v>
      </c>
      <c r="G304" s="131" t="s">
        <v>34</v>
      </c>
      <c r="H304" s="132" t="s">
        <v>35</v>
      </c>
      <c r="I304" s="131" t="s">
        <v>33</v>
      </c>
      <c r="J304" s="131" t="s">
        <v>34</v>
      </c>
      <c r="K304" s="132" t="s">
        <v>35</v>
      </c>
      <c r="L304" s="131" t="s">
        <v>33</v>
      </c>
      <c r="M304" s="131" t="s">
        <v>34</v>
      </c>
      <c r="N304" s="132" t="s">
        <v>35</v>
      </c>
      <c r="O304" s="131" t="s">
        <v>33</v>
      </c>
      <c r="P304" s="131" t="s">
        <v>34</v>
      </c>
      <c r="Q304" s="132" t="s">
        <v>35</v>
      </c>
      <c r="R304" s="131" t="s">
        <v>33</v>
      </c>
      <c r="S304" s="131" t="s">
        <v>34</v>
      </c>
      <c r="T304" s="132" t="s">
        <v>35</v>
      </c>
      <c r="U304" s="157"/>
      <c r="V304" s="147"/>
      <c r="W304" s="147"/>
      <c r="X304" s="147"/>
      <c r="Y304" s="520"/>
      <c r="Z304" s="522"/>
    </row>
    <row r="305" spans="2:28" ht="12.75" customHeight="1" x14ac:dyDescent="0.3">
      <c r="B305" s="133">
        <v>1</v>
      </c>
      <c r="C305" s="142" t="s">
        <v>647</v>
      </c>
      <c r="D305" s="227">
        <v>8</v>
      </c>
      <c r="E305" s="227"/>
      <c r="F305" s="135">
        <f>IFERROR(VLOOKUP(C305,'01_RS ALCARRIA'!$D$58:$M$61,10,FALSE),"")</f>
        <v>25</v>
      </c>
      <c r="G305" s="284">
        <f>IFERROR(VLOOKUP(C305,'01_RS ALCARRIA'!$D$58:$O$61,12,FALSE),"")/2</f>
        <v>5</v>
      </c>
      <c r="H305" s="138">
        <f>(F305+G305)*2</f>
        <v>60</v>
      </c>
      <c r="I305" s="135">
        <f>IFERROR(VLOOKUP(C305,'02_TCT GUADAMUR'!$D$58:$M$61,10,FALSE),"")</f>
        <v>25</v>
      </c>
      <c r="J305" s="284">
        <f>IFERROR(VLOOKUP(C305,'02_TCT GUADAMUR'!$D$58:$O$61,12,FALSE),"")/2</f>
        <v>5</v>
      </c>
      <c r="K305" s="138">
        <f>(I305+J305)</f>
        <v>30</v>
      </c>
      <c r="L305" s="135" t="str">
        <f>IFERROR(VLOOKUP(C305,'03_TCT MAQUEDA'!$D$58:$M$61,10,FALSE),"")</f>
        <v/>
      </c>
      <c r="M305" s="284" t="e">
        <f>IFERROR(VLOOKUP(C305,'03_TCT MAQUEDA'!$D$58:$O$61,12,FALSE),"")/2</f>
        <v>#VALUE!</v>
      </c>
      <c r="N305" s="138" t="e">
        <f>(L305+M305)</f>
        <v>#VALUE!</v>
      </c>
      <c r="O305" s="135" t="str">
        <f>IFERROR(VLOOKUP(C305,'04_RALLYE CAM'!$D$59:$M$61,10,FALSE),"")</f>
        <v/>
      </c>
      <c r="P305" s="135" t="str">
        <f>IFERROR(VLOOKUP(C305,'04_RALLYE CAM'!$D$59:$O$61,12,FALSE),"")</f>
        <v/>
      </c>
      <c r="Q305" s="138" t="e">
        <f>(O305+P305)*3</f>
        <v>#VALUE!</v>
      </c>
      <c r="R305" s="135" t="str">
        <f>IFERROR(VLOOKUP(C305,'06_TCT NUEVO BAZTÁN'!$D$44:$M$46,10,FALSE),"")</f>
        <v/>
      </c>
      <c r="S305" s="135" t="str">
        <f>IFERROR(VLOOKUP(C305,'06_TCT NUEVO BAZTÁN'!$D$44:$O$46,12,FALSE),"")</f>
        <v/>
      </c>
      <c r="T305" s="138" t="e">
        <f>(R305+S305)*2</f>
        <v>#VALUE!</v>
      </c>
      <c r="U305" s="139" t="e">
        <f>E305+H305+K305+N305+Q305+T305</f>
        <v>#VALUE!</v>
      </c>
      <c r="V305" s="147"/>
      <c r="W305" s="147"/>
      <c r="X305" s="147"/>
      <c r="Y305" s="140" t="str">
        <f>IF(Z305&gt;=3,"Sí","No")</f>
        <v>Sí</v>
      </c>
      <c r="Z305" s="141">
        <f>COUNTA(H305,K305,N305,Q305,T305,W305)</f>
        <v>5</v>
      </c>
    </row>
    <row r="306" spans="2:28" ht="13" x14ac:dyDescent="0.3">
      <c r="B306" s="133">
        <v>2</v>
      </c>
      <c r="C306" s="142" t="s">
        <v>649</v>
      </c>
      <c r="D306" s="227">
        <v>8</v>
      </c>
      <c r="E306" s="227"/>
      <c r="F306" s="135" t="str">
        <f>IFERROR(VLOOKUP(C306,'01_RS ALCARRIA'!$D$58:$M$61,10,FALSE),"")</f>
        <v/>
      </c>
      <c r="G306" s="135" t="str">
        <f>IFERROR(VLOOKUP(C306,'01_RS ALCARRIA'!$D$58:$O$61,12,FALSE),"")</f>
        <v/>
      </c>
      <c r="H306" s="138" t="e">
        <f t="shared" ref="H306:H309" si="289">(F306+G306)*2</f>
        <v>#VALUE!</v>
      </c>
      <c r="I306" s="135" t="str">
        <f>IFERROR(VLOOKUP(C306,'02_TCT GUADAMUR'!$D$58:$M$61,10,FALSE),"")</f>
        <v/>
      </c>
      <c r="J306" s="135" t="str">
        <f>IFERROR(VLOOKUP(C306,'02_TCT GUADAMUR'!$D$58:$O$61,12,FALSE),"")</f>
        <v/>
      </c>
      <c r="K306" s="138" t="e">
        <f t="shared" ref="K306:K309" si="290">(I306+J306)</f>
        <v>#VALUE!</v>
      </c>
      <c r="L306" s="135" t="str">
        <f>IFERROR(VLOOKUP(C306,'03_TCT MAQUEDA'!$D$58:$M$61,10,FALSE),"")</f>
        <v/>
      </c>
      <c r="M306" s="284" t="e">
        <f>IFERROR(VLOOKUP(C306,'03_TCT MAQUEDA'!$D$58:$O$61,12,FALSE),"")/2</f>
        <v>#VALUE!</v>
      </c>
      <c r="N306" s="138" t="e">
        <f t="shared" ref="N306:N309" si="291">(L306+M306)</f>
        <v>#VALUE!</v>
      </c>
      <c r="O306" s="135" t="str">
        <f>IFERROR(VLOOKUP(C306,'04_RALLYE CAM'!$D$59:$M$61,10,FALSE),"")</f>
        <v/>
      </c>
      <c r="P306" s="135" t="str">
        <f>IFERROR(VLOOKUP(C306,'04_RALLYE CAM'!$D$59:$O$61,12,FALSE),"")</f>
        <v/>
      </c>
      <c r="Q306" s="138" t="e">
        <f t="shared" ref="Q306:Q309" si="292">(O306+P306)*3</f>
        <v>#VALUE!</v>
      </c>
      <c r="R306" s="135" t="str">
        <f>IFERROR(VLOOKUP(C306,'06_TCT NUEVO BAZTÁN'!$D$44:$M$46,10,FALSE),"")</f>
        <v/>
      </c>
      <c r="S306" s="135" t="str">
        <f>IFERROR(VLOOKUP(C306,'06_TCT NUEVO BAZTÁN'!$D$44:$O$46,12,FALSE),"")</f>
        <v/>
      </c>
      <c r="T306" s="138" t="e">
        <f t="shared" ref="T306:T309" si="293">(R306+S306)*2</f>
        <v>#VALUE!</v>
      </c>
      <c r="U306" s="139" t="e">
        <f t="shared" ref="U306:U309" si="294">E306+H306+K306+N306+Q306+T306</f>
        <v>#VALUE!</v>
      </c>
      <c r="V306" s="147"/>
      <c r="W306" s="147"/>
      <c r="X306" s="147"/>
      <c r="Y306" s="140" t="str">
        <f>IF(Z306&gt;=3,"Sí","No")</f>
        <v>Sí</v>
      </c>
      <c r="Z306" s="141">
        <f t="shared" ref="Z306:Z309" si="295">COUNTA(H306,K306,N306,Q306,T306,W306)</f>
        <v>5</v>
      </c>
    </row>
    <row r="307" spans="2:28" ht="13" x14ac:dyDescent="0.3">
      <c r="B307" s="133">
        <v>3</v>
      </c>
      <c r="C307" s="142"/>
      <c r="D307" s="227">
        <v>8</v>
      </c>
      <c r="E307" s="227"/>
      <c r="F307" s="135" t="str">
        <f>IFERROR(VLOOKUP(C307,'01_RS ALCARRIA'!$D$58:$M$61,10,FALSE),"")</f>
        <v/>
      </c>
      <c r="G307" s="135" t="str">
        <f>IFERROR(VLOOKUP(C307,'01_RS ALCARRIA'!$D$58:$O$61,12,FALSE),"")</f>
        <v/>
      </c>
      <c r="H307" s="138" t="e">
        <f t="shared" si="289"/>
        <v>#VALUE!</v>
      </c>
      <c r="I307" s="135" t="str">
        <f>IFERROR(VLOOKUP(C307,'02_TCT GUADAMUR'!$D$58:$M$61,10,FALSE),"")</f>
        <v/>
      </c>
      <c r="J307" s="135" t="str">
        <f>IFERROR(VLOOKUP(C307,'02_TCT GUADAMUR'!$D$58:$O$61,12,FALSE),"")</f>
        <v/>
      </c>
      <c r="K307" s="138" t="e">
        <f t="shared" si="290"/>
        <v>#VALUE!</v>
      </c>
      <c r="L307" s="135" t="str">
        <f>IFERROR(VLOOKUP(C307,'03_TCT MAQUEDA'!$D$58:$M$61,10,FALSE),"")</f>
        <v/>
      </c>
      <c r="M307" s="284" t="e">
        <f>IFERROR(VLOOKUP(C307,'03_TCT MAQUEDA'!$D$58:$O$61,12,FALSE),"")/2</f>
        <v>#VALUE!</v>
      </c>
      <c r="N307" s="138" t="e">
        <f t="shared" si="291"/>
        <v>#VALUE!</v>
      </c>
      <c r="O307" s="135" t="str">
        <f>IFERROR(VLOOKUP(C307,'04_RALLYE CAM'!$D$59:$M$61,10,FALSE),"")</f>
        <v/>
      </c>
      <c r="P307" s="135" t="str">
        <f>IFERROR(VLOOKUP(C307,'04_RALLYE CAM'!$D$59:$O$61,12,FALSE),"")</f>
        <v/>
      </c>
      <c r="Q307" s="138" t="e">
        <f t="shared" si="292"/>
        <v>#VALUE!</v>
      </c>
      <c r="R307" s="135" t="str">
        <f>IFERROR(VLOOKUP(C307,'06_TCT NUEVO BAZTÁN'!$D$44:$M$46,10,FALSE),"")</f>
        <v/>
      </c>
      <c r="S307" s="135" t="str">
        <f>IFERROR(VLOOKUP(C307,'06_TCT NUEVO BAZTÁN'!$D$44:$O$46,12,FALSE),"")</f>
        <v/>
      </c>
      <c r="T307" s="138" t="e">
        <f t="shared" si="293"/>
        <v>#VALUE!</v>
      </c>
      <c r="U307" s="139" t="e">
        <f t="shared" si="294"/>
        <v>#VALUE!</v>
      </c>
      <c r="V307" s="147"/>
      <c r="W307" s="147"/>
      <c r="X307" s="147"/>
      <c r="Y307" s="140" t="str">
        <f>IF(Z307&gt;=3,"Sí","No")</f>
        <v>Sí</v>
      </c>
      <c r="Z307" s="141">
        <f t="shared" si="295"/>
        <v>5</v>
      </c>
    </row>
    <row r="308" spans="2:28" ht="13" x14ac:dyDescent="0.3">
      <c r="B308" s="133">
        <v>4</v>
      </c>
      <c r="C308" s="142"/>
      <c r="D308" s="227">
        <v>8</v>
      </c>
      <c r="E308" s="227"/>
      <c r="F308" s="135" t="str">
        <f>IFERROR(VLOOKUP(C308,'01_RS ALCARRIA'!$D$58:$M$61,10,FALSE),"")</f>
        <v/>
      </c>
      <c r="G308" s="135" t="str">
        <f>IFERROR(VLOOKUP(C308,'01_RS ALCARRIA'!$D$58:$O$61,12,FALSE),"")</f>
        <v/>
      </c>
      <c r="H308" s="138" t="e">
        <f t="shared" si="289"/>
        <v>#VALUE!</v>
      </c>
      <c r="I308" s="135" t="str">
        <f>IFERROR(VLOOKUP(C308,'02_TCT GUADAMUR'!$D$58:$M$61,10,FALSE),"")</f>
        <v/>
      </c>
      <c r="J308" s="135" t="str">
        <f>IFERROR(VLOOKUP(C308,'02_TCT GUADAMUR'!$D$58:$O$61,12,FALSE),"")</f>
        <v/>
      </c>
      <c r="K308" s="138" t="e">
        <f t="shared" si="290"/>
        <v>#VALUE!</v>
      </c>
      <c r="L308" s="135" t="str">
        <f>IFERROR(VLOOKUP(C308,'03_TCT MAQUEDA'!$D$58:$M$61,10,FALSE),"")</f>
        <v/>
      </c>
      <c r="M308" s="284" t="e">
        <f>IFERROR(VLOOKUP(C308,'03_TCT MAQUEDA'!$D$58:$O$61,12,FALSE),"")/2</f>
        <v>#VALUE!</v>
      </c>
      <c r="N308" s="138" t="e">
        <f t="shared" si="291"/>
        <v>#VALUE!</v>
      </c>
      <c r="O308" s="135" t="str">
        <f>IFERROR(VLOOKUP(C308,'04_RALLYE CAM'!$D$59:$M$61,10,FALSE),"")</f>
        <v/>
      </c>
      <c r="P308" s="135" t="str">
        <f>IFERROR(VLOOKUP(C308,'04_RALLYE CAM'!$D$59:$O$61,12,FALSE),"")</f>
        <v/>
      </c>
      <c r="Q308" s="138" t="e">
        <f t="shared" si="292"/>
        <v>#VALUE!</v>
      </c>
      <c r="R308" s="135" t="str">
        <f>IFERROR(VLOOKUP(C308,'06_TCT NUEVO BAZTÁN'!$D$44:$M$46,10,FALSE),"")</f>
        <v/>
      </c>
      <c r="S308" s="135" t="str">
        <f>IFERROR(VLOOKUP(C308,'06_TCT NUEVO BAZTÁN'!$D$44:$O$46,12,FALSE),"")</f>
        <v/>
      </c>
      <c r="T308" s="138" t="e">
        <f t="shared" si="293"/>
        <v>#VALUE!</v>
      </c>
      <c r="U308" s="139" t="e">
        <f t="shared" si="294"/>
        <v>#VALUE!</v>
      </c>
      <c r="V308" s="147"/>
      <c r="W308" s="147"/>
      <c r="X308" s="147"/>
      <c r="Y308" s="140" t="str">
        <f>IF(Z308&gt;=3,"Sí","No")</f>
        <v>Sí</v>
      </c>
      <c r="Z308" s="141">
        <f t="shared" si="295"/>
        <v>5</v>
      </c>
    </row>
    <row r="309" spans="2:28" ht="13" x14ac:dyDescent="0.3">
      <c r="B309" s="133"/>
      <c r="C309" s="142"/>
      <c r="D309" s="227">
        <v>8</v>
      </c>
      <c r="E309" s="227"/>
      <c r="F309" s="135" t="str">
        <f>IFERROR(VLOOKUP(C309,'01_RS ALCARRIA'!$D$58:$M$61,10,FALSE),"")</f>
        <v/>
      </c>
      <c r="G309" s="135" t="str">
        <f>IFERROR(VLOOKUP(C309,'01_RS ALCARRIA'!$D$58:$O$61,12,FALSE),"")</f>
        <v/>
      </c>
      <c r="H309" s="138" t="e">
        <f t="shared" si="289"/>
        <v>#VALUE!</v>
      </c>
      <c r="I309" s="135" t="str">
        <f>IFERROR(VLOOKUP(C309,'02_TCT GUADAMUR'!$D$58:$M$61,10,FALSE),"")</f>
        <v/>
      </c>
      <c r="J309" s="135" t="str">
        <f>IFERROR(VLOOKUP(C309,'02_TCT GUADAMUR'!$D$58:$O$61,12,FALSE),"")</f>
        <v/>
      </c>
      <c r="K309" s="138" t="e">
        <f t="shared" si="290"/>
        <v>#VALUE!</v>
      </c>
      <c r="L309" s="135" t="str">
        <f>IFERROR(VLOOKUP(C309,'03_TCT MAQUEDA'!$D$58:$M$61,10,FALSE),"")</f>
        <v/>
      </c>
      <c r="M309" s="284" t="e">
        <f>IFERROR(VLOOKUP(C309,'03_TCT MAQUEDA'!$D$58:$O$61,12,FALSE),"")/2</f>
        <v>#VALUE!</v>
      </c>
      <c r="N309" s="138" t="e">
        <f t="shared" si="291"/>
        <v>#VALUE!</v>
      </c>
      <c r="O309" s="135" t="str">
        <f>IFERROR(VLOOKUP(C309,'04_RALLYE CAM'!$D$59:$M$61,10,FALSE),"")</f>
        <v/>
      </c>
      <c r="P309" s="135" t="str">
        <f>IFERROR(VLOOKUP(C309,'04_RALLYE CAM'!$D$59:$O$61,12,FALSE),"")</f>
        <v/>
      </c>
      <c r="Q309" s="138" t="e">
        <f t="shared" si="292"/>
        <v>#VALUE!</v>
      </c>
      <c r="R309" s="135" t="str">
        <f>IFERROR(VLOOKUP(C309,'06_TCT NUEVO BAZTÁN'!$D$44:$M$46,10,FALSE),"")</f>
        <v/>
      </c>
      <c r="S309" s="135" t="str">
        <f>IFERROR(VLOOKUP(C309,'06_TCT NUEVO BAZTÁN'!$D$44:$O$46,12,FALSE),"")</f>
        <v/>
      </c>
      <c r="T309" s="138" t="e">
        <f t="shared" si="293"/>
        <v>#VALUE!</v>
      </c>
      <c r="U309" s="139" t="e">
        <f t="shared" si="294"/>
        <v>#VALUE!</v>
      </c>
      <c r="V309" s="147"/>
      <c r="W309" s="147"/>
      <c r="X309" s="147"/>
      <c r="Y309" s="140" t="str">
        <f>IF(Z309&gt;=3,"Sí","No")</f>
        <v>Sí</v>
      </c>
      <c r="Z309" s="141">
        <f t="shared" si="295"/>
        <v>5</v>
      </c>
    </row>
    <row r="310" spans="2:28" ht="13" x14ac:dyDescent="0.3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147"/>
      <c r="W310" s="147"/>
      <c r="X310" s="147"/>
      <c r="Y310" s="149"/>
      <c r="Z310" s="127"/>
    </row>
    <row r="311" spans="2:28" ht="12.75" customHeight="1" x14ac:dyDescent="0.3">
      <c r="B311" s="1"/>
      <c r="C311" s="235"/>
      <c r="D311" s="284"/>
      <c r="E311" s="285" t="s">
        <v>534</v>
      </c>
      <c r="F311" s="147"/>
      <c r="G311" s="147"/>
      <c r="H311" s="147"/>
      <c r="I311" s="147"/>
      <c r="J311" s="147"/>
      <c r="K311" s="147"/>
      <c r="L311" s="147"/>
      <c r="M311" s="147"/>
      <c r="N311" s="147"/>
      <c r="O311" s="147"/>
      <c r="P311" s="147"/>
      <c r="Q311" s="147"/>
      <c r="R311" s="147"/>
      <c r="S311" s="147"/>
      <c r="T311" s="147"/>
      <c r="U311" s="147"/>
      <c r="V311" s="147"/>
      <c r="W311" s="147"/>
      <c r="X311" s="147"/>
      <c r="Y311" s="147"/>
      <c r="Z311" s="147"/>
      <c r="AA311" s="148"/>
      <c r="AB311" s="262"/>
    </row>
    <row r="312" spans="2:28" ht="13" x14ac:dyDescent="0.3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147"/>
      <c r="W312" s="147"/>
      <c r="X312" s="147"/>
      <c r="Y312" s="149"/>
      <c r="Z312" s="127"/>
    </row>
    <row r="313" spans="2:28" ht="39" customHeight="1" x14ac:dyDescent="0.55000000000000004">
      <c r="B313" s="164" t="s">
        <v>519</v>
      </c>
      <c r="C313" s="165"/>
      <c r="D313" s="165"/>
      <c r="E313" s="165"/>
      <c r="F313" s="165"/>
      <c r="G313" s="165"/>
      <c r="H313" s="165"/>
      <c r="I313" s="165"/>
      <c r="J313" s="165"/>
      <c r="K313" s="165"/>
      <c r="L313" s="165"/>
      <c r="M313" s="165"/>
      <c r="N313" s="165"/>
      <c r="O313" s="165"/>
      <c r="P313" s="165"/>
      <c r="Q313" s="165"/>
      <c r="R313" s="165"/>
      <c r="S313" s="165"/>
      <c r="T313" s="165"/>
      <c r="U313" s="165"/>
      <c r="V313" s="147"/>
      <c r="W313" s="147"/>
      <c r="X313" s="147"/>
    </row>
    <row r="314" spans="2:28" ht="37.5" customHeight="1" x14ac:dyDescent="0.3">
      <c r="B314" s="166" t="s">
        <v>338</v>
      </c>
      <c r="C314" s="167"/>
      <c r="D314" s="167"/>
      <c r="E314" s="167"/>
      <c r="F314" s="167"/>
      <c r="G314" s="167"/>
      <c r="H314" s="167"/>
      <c r="I314" s="167"/>
      <c r="J314" s="167"/>
      <c r="K314" s="167"/>
      <c r="L314" s="167"/>
      <c r="M314" s="167"/>
      <c r="N314" s="167"/>
      <c r="O314" s="167"/>
      <c r="P314" s="167"/>
      <c r="Q314" s="167"/>
      <c r="R314" s="167"/>
      <c r="S314" s="167"/>
      <c r="T314" s="167"/>
      <c r="U314" s="167"/>
      <c r="V314" s="147"/>
      <c r="W314" s="147"/>
      <c r="X314" s="147"/>
      <c r="Y314" s="30"/>
      <c r="Z314" s="30"/>
    </row>
    <row r="315" spans="2:28" ht="12.75" customHeight="1" x14ac:dyDescent="0.3">
      <c r="B315" s="162"/>
      <c r="C315" s="168"/>
      <c r="D315" s="161"/>
      <c r="E315" s="161"/>
      <c r="F315" s="222" t="s">
        <v>220</v>
      </c>
      <c r="G315" s="223"/>
      <c r="H315" s="224"/>
      <c r="I315" s="222" t="s">
        <v>663</v>
      </c>
      <c r="J315" s="225"/>
      <c r="K315" s="226"/>
      <c r="L315" s="222" t="s">
        <v>532</v>
      </c>
      <c r="M315" s="225"/>
      <c r="N315" s="226"/>
      <c r="O315" s="222" t="s">
        <v>526</v>
      </c>
      <c r="P315" s="225"/>
      <c r="Q315" s="226"/>
      <c r="R315" s="413" t="s">
        <v>527</v>
      </c>
      <c r="S315" s="226"/>
      <c r="T315" s="226"/>
      <c r="U315" s="161" t="s">
        <v>213</v>
      </c>
      <c r="V315" s="147"/>
      <c r="W315" s="147"/>
      <c r="X315" s="147"/>
      <c r="Y315" s="30"/>
      <c r="Z315" s="30"/>
    </row>
    <row r="316" spans="2:28" ht="12.75" customHeight="1" x14ac:dyDescent="0.3">
      <c r="B316" s="159" t="s">
        <v>0</v>
      </c>
      <c r="C316" s="170" t="s">
        <v>166</v>
      </c>
      <c r="D316" s="160" t="s">
        <v>2</v>
      </c>
      <c r="E316" s="160" t="s">
        <v>3</v>
      </c>
      <c r="F316" s="217" t="s">
        <v>523</v>
      </c>
      <c r="G316" s="218"/>
      <c r="H316" s="219"/>
      <c r="I316" s="217" t="s">
        <v>525</v>
      </c>
      <c r="J316" s="220"/>
      <c r="K316" s="221"/>
      <c r="L316" s="217" t="s">
        <v>664</v>
      </c>
      <c r="M316" s="220"/>
      <c r="N316" s="221"/>
      <c r="O316" s="217" t="s">
        <v>529</v>
      </c>
      <c r="P316" s="220"/>
      <c r="Q316" s="221"/>
      <c r="R316" s="414" t="s">
        <v>528</v>
      </c>
      <c r="S316" s="255"/>
      <c r="T316" s="415"/>
      <c r="U316" s="160" t="s">
        <v>9</v>
      </c>
      <c r="V316" s="147"/>
      <c r="W316" s="147"/>
      <c r="X316" s="147"/>
      <c r="Y316" s="519" t="s">
        <v>223</v>
      </c>
      <c r="Z316" s="521" t="s">
        <v>4</v>
      </c>
    </row>
    <row r="317" spans="2:28" ht="12.75" customHeight="1" x14ac:dyDescent="0.3">
      <c r="B317" s="163"/>
      <c r="C317" s="169"/>
      <c r="D317" s="157"/>
      <c r="E317" s="157"/>
      <c r="F317" s="131" t="s">
        <v>33</v>
      </c>
      <c r="G317" s="131" t="s">
        <v>34</v>
      </c>
      <c r="H317" s="132" t="s">
        <v>35</v>
      </c>
      <c r="I317" s="131" t="s">
        <v>33</v>
      </c>
      <c r="J317" s="131" t="s">
        <v>34</v>
      </c>
      <c r="K317" s="132" t="s">
        <v>35</v>
      </c>
      <c r="L317" s="131" t="s">
        <v>33</v>
      </c>
      <c r="M317" s="131" t="s">
        <v>34</v>
      </c>
      <c r="N317" s="132" t="s">
        <v>35</v>
      </c>
      <c r="O317" s="131" t="s">
        <v>33</v>
      </c>
      <c r="P317" s="131" t="s">
        <v>34</v>
      </c>
      <c r="Q317" s="132" t="s">
        <v>35</v>
      </c>
      <c r="R317" s="131" t="s">
        <v>33</v>
      </c>
      <c r="S317" s="131" t="s">
        <v>34</v>
      </c>
      <c r="T317" s="132" t="s">
        <v>35</v>
      </c>
      <c r="U317" s="157"/>
      <c r="V317" s="147"/>
      <c r="W317" s="147"/>
      <c r="X317" s="147"/>
      <c r="Y317" s="520"/>
      <c r="Z317" s="522"/>
    </row>
    <row r="318" spans="2:28" ht="12.75" customHeight="1" x14ac:dyDescent="0.3">
      <c r="B318" s="133">
        <v>1</v>
      </c>
      <c r="C318" s="142" t="s">
        <v>648</v>
      </c>
      <c r="D318" s="227">
        <v>8</v>
      </c>
      <c r="E318" s="227"/>
      <c r="F318" s="135">
        <f>IFERROR(VLOOKUP(C318,'01_RS ALCARRIA'!$F$58:$R$61,13,FALSE),"")</f>
        <v>25</v>
      </c>
      <c r="G318" s="284">
        <f>IFERROR(VLOOKUP(C318,'01_RS ALCARRIA'!$F$58:$T$61,15,FALSE),"")/2</f>
        <v>5</v>
      </c>
      <c r="H318" s="138">
        <f>(F318+G318)*2</f>
        <v>60</v>
      </c>
      <c r="I318" s="135">
        <f>IFERROR(VLOOKUP(C318,'02_TCT GUADAMUR'!$F$58:$R$61,13,FALSE),"")</f>
        <v>25</v>
      </c>
      <c r="J318" s="284">
        <f>IFERROR(VLOOKUP(C318,'02_TCT GUADAMUR'!$F$58:$T$61,15,FALSE),"")/2</f>
        <v>5</v>
      </c>
      <c r="K318" s="138">
        <f>(I318+J318)</f>
        <v>30</v>
      </c>
      <c r="L318" s="135" t="str">
        <f>IFERROR(VLOOKUP(C318,'03_TCT MAQUEDA'!$F$58:$R$61,13,FALSE),"")</f>
        <v/>
      </c>
      <c r="M318" s="284" t="e">
        <f>IFERROR(VLOOKUP(C318,'03_TCT MAQUEDA'!$F$58:$T$61,15,FALSE),"")/2</f>
        <v>#VALUE!</v>
      </c>
      <c r="N318" s="138" t="e">
        <f>(L318+M318)</f>
        <v>#VALUE!</v>
      </c>
      <c r="O318" s="135" t="str">
        <f>IFERROR(VLOOKUP(C318,'04_RALLYE CAM'!$F$59:$R$61,13,FALSE),"")</f>
        <v/>
      </c>
      <c r="P318" s="451" t="str">
        <f>IFERROR(VLOOKUP(C318,'04_RALLYE CAM'!$F$59:$T$61,15,FALSE),"")</f>
        <v/>
      </c>
      <c r="Q318" s="138" t="e">
        <f>(O318+P318)*3</f>
        <v>#VALUE!</v>
      </c>
      <c r="R318" s="135" t="str">
        <f>IFERROR(VLOOKUP(C318,'06_TCT NUEVO BAZTÁN'!$F$44:$R$46,13,FALSE),"")</f>
        <v/>
      </c>
      <c r="S318" s="135" t="str">
        <f>IFERROR(VLOOKUP(C318,'06_TCT NUEVO BAZTÁN'!$F$44:$T$46,15,FALSE),"")</f>
        <v/>
      </c>
      <c r="T318" s="138" t="e">
        <f>(R318+S318)*2</f>
        <v>#VALUE!</v>
      </c>
      <c r="U318" s="139" t="e">
        <f>E318+H318+K318+N318+Q318+T318</f>
        <v>#VALUE!</v>
      </c>
      <c r="V318" s="147"/>
      <c r="W318" s="147"/>
      <c r="X318" s="147"/>
      <c r="Y318" s="140" t="str">
        <f>IF(Z318&gt;=3,"Sí","No")</f>
        <v>Sí</v>
      </c>
      <c r="Z318" s="141">
        <f>COUNTA(H318,K318,N318,Q318,T318,W318)</f>
        <v>5</v>
      </c>
    </row>
    <row r="319" spans="2:28" ht="13" x14ac:dyDescent="0.3">
      <c r="B319" s="133">
        <v>2</v>
      </c>
      <c r="C319" s="142" t="s">
        <v>650</v>
      </c>
      <c r="D319" s="227">
        <v>8</v>
      </c>
      <c r="E319" s="227"/>
      <c r="F319" s="135" t="str">
        <f>IFERROR(VLOOKUP(C319,'01_RS ALCARRIA'!$F$58:$R$61,13,FALSE),"")</f>
        <v/>
      </c>
      <c r="G319" s="135" t="str">
        <f>IFERROR(VLOOKUP(C319,'01_RS ALCARRIA'!$F$58:$T$61,15,FALSE),"")</f>
        <v/>
      </c>
      <c r="H319" s="138" t="e">
        <f t="shared" ref="H319:H322" si="296">(F319+G319)*2</f>
        <v>#VALUE!</v>
      </c>
      <c r="I319" s="135" t="str">
        <f>IFERROR(VLOOKUP(C319,'02_TCT GUADAMUR'!$F$58:$R$61,13,FALSE),"")</f>
        <v/>
      </c>
      <c r="J319" s="135" t="str">
        <f>IFERROR(VLOOKUP(C319,'02_TCT GUADAMUR'!$F$58:$T$61,15,FALSE),"")</f>
        <v/>
      </c>
      <c r="K319" s="138" t="e">
        <f t="shared" ref="K319:K322" si="297">(I319+J319)</f>
        <v>#VALUE!</v>
      </c>
      <c r="L319" s="135" t="str">
        <f>IFERROR(VLOOKUP(C319,#REF!,13,FALSE),"")</f>
        <v/>
      </c>
      <c r="M319" s="284" t="e">
        <f>IFERROR(VLOOKUP(C319,'03_TCT MAQUEDA'!$F$58:$T$61,15,FALSE),"")/2</f>
        <v>#VALUE!</v>
      </c>
      <c r="N319" s="138" t="e">
        <f t="shared" ref="N319:N322" si="298">(L319+M319)</f>
        <v>#VALUE!</v>
      </c>
      <c r="O319" s="135" t="str">
        <f>IFERROR(VLOOKUP(C319,'04_RALLYE CAM'!$F$59:$R$61,13,FALSE),"")</f>
        <v/>
      </c>
      <c r="P319" s="451" t="e">
        <f>IFERROR(VLOOKUP(C319,'04_RALLYE CAM'!$F$59:$T$61,15,FALSE),"")/2</f>
        <v>#VALUE!</v>
      </c>
      <c r="Q319" s="138" t="e">
        <f>(O319+P319)*2</f>
        <v>#VALUE!</v>
      </c>
      <c r="R319" s="135" t="str">
        <f>IFERROR(VLOOKUP(C319,'06_TCT NUEVO BAZTÁN'!$F$44:$R$46,13,FALSE),"")</f>
        <v/>
      </c>
      <c r="S319" s="135" t="str">
        <f>IFERROR(VLOOKUP(C319,'06_TCT NUEVO BAZTÁN'!$F$44:$T$46,15,FALSE),"")</f>
        <v/>
      </c>
      <c r="T319" s="138" t="e">
        <f t="shared" ref="T319:T322" si="299">(R319+S319)*2</f>
        <v>#VALUE!</v>
      </c>
      <c r="U319" s="139" t="e">
        <f t="shared" ref="U319:U322" si="300">E319+H319+K319+N319+Q319+T319</f>
        <v>#VALUE!</v>
      </c>
      <c r="V319" s="147"/>
      <c r="W319" s="147"/>
      <c r="X319" s="147"/>
      <c r="Y319" s="140" t="str">
        <f>IF(Z319&gt;=3,"Sí","No")</f>
        <v>Sí</v>
      </c>
      <c r="Z319" s="141">
        <f t="shared" ref="Z319:Z322" si="301">COUNTA(H319,K319,N319,Q319,T319,W319)</f>
        <v>5</v>
      </c>
    </row>
    <row r="320" spans="2:28" ht="12.75" customHeight="1" x14ac:dyDescent="0.3">
      <c r="B320" s="133">
        <v>3</v>
      </c>
      <c r="C320" s="142"/>
      <c r="D320" s="227">
        <v>8</v>
      </c>
      <c r="E320" s="227"/>
      <c r="F320" s="135" t="str">
        <f>IFERROR(VLOOKUP(C320,'01_RS ALCARRIA'!$F$58:$R$61,13,FALSE),"")</f>
        <v/>
      </c>
      <c r="G320" s="135" t="str">
        <f>IFERROR(VLOOKUP(C320,'01_RS ALCARRIA'!$F$58:$T$61,15,FALSE),"")</f>
        <v/>
      </c>
      <c r="H320" s="138" t="e">
        <f t="shared" si="296"/>
        <v>#VALUE!</v>
      </c>
      <c r="I320" s="135" t="str">
        <f>IFERROR(VLOOKUP(C320,'02_TCT GUADAMUR'!$F$58:$R$61,13,FALSE),"")</f>
        <v/>
      </c>
      <c r="J320" s="135" t="str">
        <f>IFERROR(VLOOKUP(C320,'02_TCT GUADAMUR'!$F$58:$T$61,15,FALSE),"")</f>
        <v/>
      </c>
      <c r="K320" s="138" t="e">
        <f t="shared" si="297"/>
        <v>#VALUE!</v>
      </c>
      <c r="L320" s="135" t="str">
        <f>IFERROR(VLOOKUP(C320,#REF!,13,FALSE),"")</f>
        <v/>
      </c>
      <c r="M320" s="284" t="e">
        <f>IFERROR(VLOOKUP(C320,'03_TCT MAQUEDA'!$F$58:$T$61,15,FALSE),"")/2</f>
        <v>#VALUE!</v>
      </c>
      <c r="N320" s="138" t="e">
        <f t="shared" si="298"/>
        <v>#VALUE!</v>
      </c>
      <c r="O320" s="135" t="str">
        <f>IFERROR(VLOOKUP(C320,'04_RALLYE CAM'!$F$59:$R$61,13,FALSE),"")</f>
        <v/>
      </c>
      <c r="P320" s="451" t="e">
        <f>IFERROR(VLOOKUP(C320,'04_RALLYE CAM'!$F$59:$T$61,15,FALSE),"")/2</f>
        <v>#VALUE!</v>
      </c>
      <c r="Q320" s="138"/>
      <c r="R320" s="135" t="str">
        <f>IFERROR(VLOOKUP(C320,'06_TCT NUEVO BAZTÁN'!$F$44:$R$46,13,FALSE),"")</f>
        <v/>
      </c>
      <c r="S320" s="135" t="str">
        <f>IFERROR(VLOOKUP(C320,'06_TCT NUEVO BAZTÁN'!$F$44:$T$46,15,FALSE),"")</f>
        <v/>
      </c>
      <c r="T320" s="138" t="e">
        <f t="shared" si="299"/>
        <v>#VALUE!</v>
      </c>
      <c r="U320" s="139" t="e">
        <f t="shared" si="300"/>
        <v>#VALUE!</v>
      </c>
      <c r="V320" s="147"/>
      <c r="W320" s="147"/>
      <c r="X320" s="147"/>
      <c r="Y320" s="140" t="str">
        <f>IF(Z320&gt;=3,"Sí","No")</f>
        <v>Sí</v>
      </c>
      <c r="Z320" s="141">
        <f t="shared" si="301"/>
        <v>4</v>
      </c>
    </row>
    <row r="321" spans="2:28" ht="12.75" customHeight="1" x14ac:dyDescent="0.3">
      <c r="B321" s="133">
        <v>4</v>
      </c>
      <c r="C321" s="142"/>
      <c r="D321" s="227">
        <v>8</v>
      </c>
      <c r="E321" s="227"/>
      <c r="F321" s="135" t="str">
        <f>IFERROR(VLOOKUP(C321,'01_RS ALCARRIA'!$F$58:$R$61,13,FALSE),"")</f>
        <v/>
      </c>
      <c r="G321" s="135" t="str">
        <f>IFERROR(VLOOKUP(C321,'01_RS ALCARRIA'!$F$58:$T$61,15,FALSE),"")</f>
        <v/>
      </c>
      <c r="H321" s="138" t="e">
        <f t="shared" si="296"/>
        <v>#VALUE!</v>
      </c>
      <c r="I321" s="135" t="str">
        <f>IFERROR(VLOOKUP(C321,'02_TCT GUADAMUR'!$F$58:$R$61,13,FALSE),"")</f>
        <v/>
      </c>
      <c r="J321" s="135" t="str">
        <f>IFERROR(VLOOKUP(C321,'02_TCT GUADAMUR'!$F$58:$T$61,15,FALSE),"")</f>
        <v/>
      </c>
      <c r="K321" s="138" t="e">
        <f t="shared" si="297"/>
        <v>#VALUE!</v>
      </c>
      <c r="L321" s="135" t="str">
        <f>IFERROR(VLOOKUP(C321,#REF!,13,FALSE),"")</f>
        <v/>
      </c>
      <c r="M321" s="284" t="e">
        <f>IFERROR(VLOOKUP(C321,'03_TCT MAQUEDA'!$F$58:$T$61,15,FALSE),"")/2</f>
        <v>#VALUE!</v>
      </c>
      <c r="N321" s="138" t="e">
        <f t="shared" si="298"/>
        <v>#VALUE!</v>
      </c>
      <c r="O321" s="135" t="str">
        <f>IFERROR(VLOOKUP(C321,'04_RALLYE CAM'!$F$59:$R$61,13,FALSE),"")</f>
        <v/>
      </c>
      <c r="P321" s="451" t="e">
        <f>IFERROR(VLOOKUP(C321,'04_RALLYE CAM'!$F$59:$T$61,15,FALSE),"")/2</f>
        <v>#VALUE!</v>
      </c>
      <c r="Q321" s="138"/>
      <c r="R321" s="135" t="str">
        <f>IFERROR(VLOOKUP(C321,'06_TCT NUEVO BAZTÁN'!$F$44:$R$46,13,FALSE),"")</f>
        <v/>
      </c>
      <c r="S321" s="135" t="str">
        <f>IFERROR(VLOOKUP(C321,'06_TCT NUEVO BAZTÁN'!$F$44:$T$46,15,FALSE),"")</f>
        <v/>
      </c>
      <c r="T321" s="138" t="e">
        <f t="shared" si="299"/>
        <v>#VALUE!</v>
      </c>
      <c r="U321" s="139" t="e">
        <f t="shared" si="300"/>
        <v>#VALUE!</v>
      </c>
      <c r="V321" s="147"/>
      <c r="W321" s="147"/>
      <c r="X321" s="147"/>
      <c r="Y321" s="140" t="str">
        <f>IF(Z321&gt;=3,"Sí","No")</f>
        <v>Sí</v>
      </c>
      <c r="Z321" s="141">
        <f t="shared" si="301"/>
        <v>4</v>
      </c>
    </row>
    <row r="322" spans="2:28" ht="12.75" customHeight="1" x14ac:dyDescent="0.3">
      <c r="B322" s="133"/>
      <c r="C322" s="142"/>
      <c r="D322" s="227">
        <v>8</v>
      </c>
      <c r="E322" s="227"/>
      <c r="F322" s="135" t="str">
        <f>IFERROR(VLOOKUP(C322,'01_RS ALCARRIA'!$F$58:$R$61,13,FALSE),"")</f>
        <v/>
      </c>
      <c r="G322" s="135" t="str">
        <f>IFERROR(VLOOKUP(C322,'01_RS ALCARRIA'!$F$58:$T$61,15,FALSE),"")</f>
        <v/>
      </c>
      <c r="H322" s="138" t="e">
        <f t="shared" si="296"/>
        <v>#VALUE!</v>
      </c>
      <c r="I322" s="135" t="str">
        <f>IFERROR(VLOOKUP(C322,'02_TCT GUADAMUR'!$F$58:$R$61,13,FALSE),"")</f>
        <v/>
      </c>
      <c r="J322" s="135" t="str">
        <f>IFERROR(VLOOKUP(C322,'02_TCT GUADAMUR'!$F$58:$T$61,15,FALSE),"")</f>
        <v/>
      </c>
      <c r="K322" s="138" t="e">
        <f t="shared" si="297"/>
        <v>#VALUE!</v>
      </c>
      <c r="L322" s="135" t="str">
        <f>IFERROR(VLOOKUP(C322,#REF!,13,FALSE),"")</f>
        <v/>
      </c>
      <c r="M322" s="284" t="e">
        <f>IFERROR(VLOOKUP(C322,'03_TCT MAQUEDA'!$F$58:$T$61,15,FALSE),"")/2</f>
        <v>#VALUE!</v>
      </c>
      <c r="N322" s="138" t="e">
        <f t="shared" si="298"/>
        <v>#VALUE!</v>
      </c>
      <c r="O322" s="135" t="str">
        <f>IFERROR(VLOOKUP(C322,'04_RALLYE CAM'!$F$59:$R$61,13,FALSE),"")</f>
        <v/>
      </c>
      <c r="P322" s="451" t="e">
        <f>IFERROR(VLOOKUP(C322,'04_RALLYE CAM'!$F$59:$T$61,15,FALSE),"")/2</f>
        <v>#VALUE!</v>
      </c>
      <c r="Q322" s="138"/>
      <c r="R322" s="135" t="str">
        <f>IFERROR(VLOOKUP(C322,'06_TCT NUEVO BAZTÁN'!$F$44:$R$46,13,FALSE),"")</f>
        <v/>
      </c>
      <c r="S322" s="135" t="str">
        <f>IFERROR(VLOOKUP(C322,'06_TCT NUEVO BAZTÁN'!$F$44:$T$46,15,FALSE),"")</f>
        <v/>
      </c>
      <c r="T322" s="138" t="e">
        <f t="shared" si="299"/>
        <v>#VALUE!</v>
      </c>
      <c r="U322" s="139" t="e">
        <f t="shared" si="300"/>
        <v>#VALUE!</v>
      </c>
      <c r="V322" s="147"/>
      <c r="W322" s="147"/>
      <c r="X322" s="147"/>
      <c r="Y322" s="140" t="str">
        <f>IF(Z322&gt;=3,"Sí","No")</f>
        <v>Sí</v>
      </c>
      <c r="Z322" s="141">
        <f t="shared" si="301"/>
        <v>4</v>
      </c>
    </row>
    <row r="323" spans="2:28" ht="13" x14ac:dyDescent="0.3"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147"/>
      <c r="W323" s="147"/>
      <c r="X323" s="147"/>
      <c r="Y323" s="149"/>
      <c r="Z323" s="127"/>
    </row>
    <row r="324" spans="2:28" ht="12.75" customHeight="1" x14ac:dyDescent="0.3">
      <c r="B324" s="1"/>
      <c r="C324" s="235"/>
      <c r="D324" s="284"/>
      <c r="E324" s="285" t="s">
        <v>534</v>
      </c>
      <c r="F324" s="147"/>
      <c r="G324" s="147"/>
      <c r="H324" s="147"/>
      <c r="I324" s="147"/>
      <c r="J324" s="147"/>
      <c r="K324" s="147"/>
      <c r="L324" s="147"/>
      <c r="M324" s="147"/>
      <c r="N324" s="147"/>
      <c r="O324" s="147"/>
      <c r="P324" s="147"/>
      <c r="Q324" s="147"/>
      <c r="R324" s="147"/>
      <c r="S324" s="147"/>
      <c r="T324" s="147"/>
      <c r="U324" s="147"/>
      <c r="V324" s="147"/>
      <c r="W324" s="147"/>
      <c r="X324" s="147"/>
      <c r="Y324" s="147"/>
      <c r="Z324" s="147"/>
      <c r="AA324" s="148"/>
      <c r="AB324" s="262"/>
    </row>
    <row r="325" spans="2:28" ht="13" x14ac:dyDescent="0.3"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147"/>
      <c r="W325" s="147"/>
      <c r="X325" s="147"/>
      <c r="Y325" s="149"/>
      <c r="Z325" s="127"/>
    </row>
    <row r="326" spans="2:28" ht="39" customHeight="1" x14ac:dyDescent="0.55000000000000004">
      <c r="B326" s="164" t="s">
        <v>519</v>
      </c>
      <c r="C326" s="165"/>
      <c r="D326" s="165"/>
      <c r="E326" s="165"/>
      <c r="F326" s="165"/>
      <c r="G326" s="165"/>
      <c r="H326" s="165"/>
      <c r="I326" s="165"/>
      <c r="J326" s="165"/>
      <c r="K326" s="165"/>
      <c r="L326" s="165"/>
      <c r="M326" s="165"/>
      <c r="N326" s="165"/>
      <c r="O326" s="165"/>
      <c r="P326" s="165"/>
      <c r="Q326" s="165"/>
      <c r="R326" s="165"/>
      <c r="S326" s="165"/>
      <c r="T326" s="165"/>
      <c r="U326" s="165"/>
      <c r="V326" s="147"/>
      <c r="W326" s="147"/>
      <c r="X326" s="147"/>
    </row>
    <row r="327" spans="2:28" ht="37.5" customHeight="1" x14ac:dyDescent="0.3">
      <c r="B327" s="166" t="s">
        <v>344</v>
      </c>
      <c r="C327" s="167"/>
      <c r="D327" s="167"/>
      <c r="E327" s="167"/>
      <c r="F327" s="167"/>
      <c r="G327" s="167"/>
      <c r="H327" s="167"/>
      <c r="I327" s="167"/>
      <c r="J327" s="167"/>
      <c r="K327" s="167"/>
      <c r="L327" s="167"/>
      <c r="M327" s="167"/>
      <c r="N327" s="167"/>
      <c r="O327" s="167"/>
      <c r="P327" s="167"/>
      <c r="Q327" s="167"/>
      <c r="R327" s="167"/>
      <c r="S327" s="167"/>
      <c r="T327" s="167"/>
      <c r="U327" s="167"/>
      <c r="V327" s="147"/>
      <c r="W327" s="147"/>
      <c r="X327" s="147"/>
      <c r="Y327" s="30"/>
      <c r="Z327" s="30"/>
    </row>
    <row r="328" spans="2:28" ht="12.75" customHeight="1" x14ac:dyDescent="0.3">
      <c r="B328" s="162"/>
      <c r="C328" s="168"/>
      <c r="D328" s="161"/>
      <c r="E328" s="161"/>
      <c r="F328" s="222" t="s">
        <v>220</v>
      </c>
      <c r="G328" s="223"/>
      <c r="H328" s="224"/>
      <c r="I328" s="222" t="s">
        <v>663</v>
      </c>
      <c r="J328" s="225"/>
      <c r="K328" s="226"/>
      <c r="L328" s="222" t="s">
        <v>532</v>
      </c>
      <c r="M328" s="225"/>
      <c r="N328" s="226"/>
      <c r="O328" s="222" t="s">
        <v>526</v>
      </c>
      <c r="P328" s="225"/>
      <c r="Q328" s="226"/>
      <c r="R328" s="413" t="s">
        <v>527</v>
      </c>
      <c r="S328" s="226"/>
      <c r="T328" s="226"/>
      <c r="U328" s="161" t="s">
        <v>213</v>
      </c>
      <c r="V328" s="147"/>
      <c r="W328" s="147"/>
      <c r="X328" s="147"/>
      <c r="Y328" s="30"/>
      <c r="Z328" s="30"/>
    </row>
    <row r="329" spans="2:28" ht="12.75" customHeight="1" x14ac:dyDescent="0.3">
      <c r="B329" s="159" t="s">
        <v>0</v>
      </c>
      <c r="C329" s="170" t="s">
        <v>345</v>
      </c>
      <c r="D329" s="160" t="s">
        <v>2</v>
      </c>
      <c r="E329" s="160" t="s">
        <v>3</v>
      </c>
      <c r="F329" s="217" t="s">
        <v>523</v>
      </c>
      <c r="G329" s="218"/>
      <c r="H329" s="219"/>
      <c r="I329" s="217" t="s">
        <v>525</v>
      </c>
      <c r="J329" s="220"/>
      <c r="K329" s="221"/>
      <c r="L329" s="217" t="s">
        <v>664</v>
      </c>
      <c r="M329" s="220"/>
      <c r="N329" s="221"/>
      <c r="O329" s="217" t="s">
        <v>529</v>
      </c>
      <c r="P329" s="220"/>
      <c r="Q329" s="221"/>
      <c r="R329" s="414" t="s">
        <v>528</v>
      </c>
      <c r="S329" s="255"/>
      <c r="T329" s="415"/>
      <c r="U329" s="160" t="s">
        <v>9</v>
      </c>
      <c r="V329" s="147"/>
      <c r="W329" s="147"/>
      <c r="X329" s="147"/>
      <c r="Y329" s="519" t="s">
        <v>223</v>
      </c>
      <c r="Z329" s="521" t="s">
        <v>4</v>
      </c>
    </row>
    <row r="330" spans="2:28" ht="12.75" customHeight="1" x14ac:dyDescent="0.3">
      <c r="B330" s="163"/>
      <c r="C330" s="169"/>
      <c r="D330" s="157"/>
      <c r="E330" s="157"/>
      <c r="F330" s="131" t="s">
        <v>33</v>
      </c>
      <c r="G330" s="131" t="s">
        <v>34</v>
      </c>
      <c r="H330" s="132" t="s">
        <v>35</v>
      </c>
      <c r="I330" s="131" t="s">
        <v>33</v>
      </c>
      <c r="J330" s="131" t="s">
        <v>34</v>
      </c>
      <c r="K330" s="132" t="s">
        <v>35</v>
      </c>
      <c r="L330" s="131" t="s">
        <v>33</v>
      </c>
      <c r="M330" s="131" t="s">
        <v>34</v>
      </c>
      <c r="N330" s="132" t="s">
        <v>35</v>
      </c>
      <c r="O330" s="131" t="s">
        <v>33</v>
      </c>
      <c r="P330" s="131" t="s">
        <v>34</v>
      </c>
      <c r="Q330" s="132" t="s">
        <v>35</v>
      </c>
      <c r="R330" s="131" t="s">
        <v>33</v>
      </c>
      <c r="S330" s="131" t="s">
        <v>34</v>
      </c>
      <c r="T330" s="132" t="s">
        <v>35</v>
      </c>
      <c r="U330" s="157"/>
      <c r="V330" s="147"/>
      <c r="W330" s="147"/>
      <c r="X330" s="147"/>
      <c r="Y330" s="520"/>
      <c r="Z330" s="522"/>
    </row>
    <row r="331" spans="2:28" ht="12.75" customHeight="1" x14ac:dyDescent="0.3">
      <c r="B331" s="133">
        <v>1</v>
      </c>
      <c r="C331" s="142" t="s">
        <v>651</v>
      </c>
      <c r="D331" s="227">
        <v>8</v>
      </c>
      <c r="E331" s="227"/>
      <c r="F331" s="135">
        <f>IFERROR(VLOOKUP(C331,'01_RS ALCARRIA'!$D$65:$K$67,8, FALSE), " ")</f>
        <v>25</v>
      </c>
      <c r="G331" s="284">
        <f>IFERROR(VLOOKUP(C331,'01_RS ALCARRIA'!$D$65:$M$67,10, FALSE), " ")/2</f>
        <v>5</v>
      </c>
      <c r="H331" s="138">
        <f>(F331+G331)*2</f>
        <v>60</v>
      </c>
      <c r="I331" s="135">
        <f>IFERROR(VLOOKUP(C331,'02_TCT GUADAMUR'!$D$65:$K$67,8, FALSE), " ")</f>
        <v>25</v>
      </c>
      <c r="J331" s="284">
        <f>IFERROR(VLOOKUP(C331,'02_TCT GUADAMUR'!$D$65:$M$67,10, FALSE), " ")/2</f>
        <v>5</v>
      </c>
      <c r="K331" s="138">
        <f>(I331+J331)</f>
        <v>30</v>
      </c>
      <c r="L331" s="135" t="str">
        <f>IFERROR(VLOOKUP(C331,'03_TCT MAQUEDA'!$D$65:$K$67,8, FALSE), " ")</f>
        <v xml:space="preserve"> </v>
      </c>
      <c r="M331" s="284" t="e">
        <f>IFERROR(VLOOKUP(C331,'03_TCT MAQUEDA'!$D$65:$M$67,10, FALSE), " ")/2</f>
        <v>#VALUE!</v>
      </c>
      <c r="N331" s="138" t="e">
        <f>(L331+M331)</f>
        <v>#VALUE!</v>
      </c>
      <c r="O331" s="135" t="str">
        <f>IFERROR(VLOOKUP(C331,'04_RALLYE CAM'!$D$66:$K$67,8,FALSE),"")</f>
        <v/>
      </c>
      <c r="P331" s="451" t="str">
        <f>IFERROR(VLOOKUP(C331,'04_RALLYE CAM'!$D$66:$M$67,10,FALSE),"")</f>
        <v/>
      </c>
      <c r="Q331" s="138" t="e">
        <f>(O331+P331)*3</f>
        <v>#VALUE!</v>
      </c>
      <c r="R331" s="135" t="str">
        <f>IFERROR(VLOOKUP(C331,'06_TCT NUEVO BAZTÁN'!$D$51:$K$52,8, FALSE), " ")</f>
        <v xml:space="preserve"> </v>
      </c>
      <c r="S331" s="451" t="str">
        <f>IFERROR(VLOOKUP(C331,'06_TCT NUEVO BAZTÁN'!$D$51:$M$52,10, FALSE), " ")</f>
        <v xml:space="preserve"> </v>
      </c>
      <c r="T331" s="138" t="e">
        <f>(R331+S331)*2</f>
        <v>#VALUE!</v>
      </c>
      <c r="U331" s="139" t="e">
        <f>E331+H331+K331+N331+Q331+T331</f>
        <v>#VALUE!</v>
      </c>
      <c r="V331" s="147"/>
      <c r="W331" s="147"/>
      <c r="X331" s="147"/>
      <c r="Y331" s="140" t="str">
        <f>IF(Z331&gt;=3,"Sí","No")</f>
        <v>Sí</v>
      </c>
      <c r="Z331" s="141">
        <f>COUNTA(H331,K331,N331,Q331,T331,W331)</f>
        <v>5</v>
      </c>
    </row>
    <row r="332" spans="2:28" ht="13" x14ac:dyDescent="0.3">
      <c r="B332" s="133">
        <v>2</v>
      </c>
      <c r="C332" s="142" t="s">
        <v>652</v>
      </c>
      <c r="D332" s="227">
        <v>8</v>
      </c>
      <c r="E332" s="227"/>
      <c r="F332" s="135" t="str">
        <f>IFERROR(VLOOKUP(C332,'01_RS ALCARRIA'!$D$65:$K$67,8, FALSE), " ")</f>
        <v/>
      </c>
      <c r="G332" s="135" t="str">
        <f>IFERROR(VLOOKUP(C332,'01_RS ALCARRIA'!$D$65:$M$67,10, FALSE), " ")</f>
        <v/>
      </c>
      <c r="H332" s="138" t="e">
        <f t="shared" ref="H332:H333" si="302">(F332+G332)*2</f>
        <v>#VALUE!</v>
      </c>
      <c r="I332" s="135" t="str">
        <f>IFERROR(VLOOKUP(C332,'02_TCT GUADAMUR'!$D$65:$K$67,8, FALSE), " ")</f>
        <v xml:space="preserve"> </v>
      </c>
      <c r="J332" s="135" t="str">
        <f>IFERROR(VLOOKUP(C332,'02_TCT GUADAMUR'!$D$65:$M$67,10, FALSE), " ")</f>
        <v xml:space="preserve"> </v>
      </c>
      <c r="K332" s="138" t="e">
        <f t="shared" ref="K332:K333" si="303">(I332+J332)</f>
        <v>#VALUE!</v>
      </c>
      <c r="L332" s="135" t="str">
        <f>IFERROR(VLOOKUP(C332,#REF!,8,FALSE),"")</f>
        <v/>
      </c>
      <c r="M332" s="284" t="e">
        <f>IFERROR(VLOOKUP(C332,'03_TCT MAQUEDA'!$D$65:$M$67,10, FALSE), " ")/2</f>
        <v>#VALUE!</v>
      </c>
      <c r="N332" s="138" t="e">
        <f t="shared" ref="N332:N333" si="304">(L332+M332)</f>
        <v>#VALUE!</v>
      </c>
      <c r="O332" s="135" t="str">
        <f>IFERROR(VLOOKUP(C332,'04_RALLYE CAM'!$D$66:$K$67,8,FALSE),"")</f>
        <v/>
      </c>
      <c r="P332" s="451" t="str">
        <f>IFERROR(VLOOKUP(C332,'04_RALLYE CAM'!$D$66:$M$67,10,FALSE),"")</f>
        <v/>
      </c>
      <c r="Q332" s="138" t="e">
        <f t="shared" ref="Q332:Q333" si="305">(O332+P332)*3</f>
        <v>#VALUE!</v>
      </c>
      <c r="R332" s="135" t="str">
        <f>IFERROR(VLOOKUP(C332,'06_TCT NUEVO BAZTÁN'!$D$51:$K$52,8, FALSE), " ")</f>
        <v xml:space="preserve"> </v>
      </c>
      <c r="S332" s="451" t="str">
        <f>IFERROR(VLOOKUP(C332,'06_TCT NUEVO BAZTÁN'!$D$51:$M$52,10, FALSE), " ")</f>
        <v xml:space="preserve"> </v>
      </c>
      <c r="T332" s="138" t="e">
        <f t="shared" ref="T332:T333" si="306">(R332+S332)*2</f>
        <v>#VALUE!</v>
      </c>
      <c r="U332" s="139" t="e">
        <f t="shared" ref="U332:U333" si="307">E332+H332+K332+N332+Q332+T332</f>
        <v>#VALUE!</v>
      </c>
      <c r="V332" s="147"/>
      <c r="W332" s="147"/>
      <c r="X332" s="147"/>
      <c r="Y332" s="140" t="str">
        <f>IF(Z332&gt;=3,"Sí","No")</f>
        <v>Sí</v>
      </c>
      <c r="Z332" s="141">
        <f t="shared" ref="Z332" si="308">COUNTA(H332,K332,N332,Q332,T332,W332)</f>
        <v>5</v>
      </c>
    </row>
    <row r="333" spans="2:28" ht="12.75" customHeight="1" x14ac:dyDescent="0.3">
      <c r="B333" s="133">
        <v>3</v>
      </c>
      <c r="C333" s="142"/>
      <c r="D333" s="227">
        <v>8</v>
      </c>
      <c r="E333" s="227"/>
      <c r="F333" s="135" t="str">
        <f>IFERROR(VLOOKUP(C333,'01_RS ALCARRIA'!$D$65:$K$67,8, FALSE), " ")</f>
        <v xml:space="preserve"> </v>
      </c>
      <c r="G333" s="135" t="str">
        <f>IFERROR(VLOOKUP(C333,'01_RS ALCARRIA'!$D$65:$M$67,10, FALSE), " ")</f>
        <v xml:space="preserve"> </v>
      </c>
      <c r="H333" s="138" t="e">
        <f t="shared" si="302"/>
        <v>#VALUE!</v>
      </c>
      <c r="I333" s="135" t="str">
        <f>IFERROR(VLOOKUP(C333,'02_TCT GUADAMUR'!$D$65:$K$67,8, FALSE), " ")</f>
        <v xml:space="preserve"> </v>
      </c>
      <c r="J333" s="135" t="str">
        <f>IFERROR(VLOOKUP(C333,'02_TCT GUADAMUR'!$D$65:$M$67,10, FALSE), " ")</f>
        <v xml:space="preserve"> </v>
      </c>
      <c r="K333" s="138" t="e">
        <f t="shared" si="303"/>
        <v>#VALUE!</v>
      </c>
      <c r="L333" s="135" t="str">
        <f>IFERROR(VLOOKUP(C333,#REF!,8,FALSE),"")</f>
        <v/>
      </c>
      <c r="M333" s="284" t="e">
        <f>IFERROR(VLOOKUP(C333,'03_TCT MAQUEDA'!$D$65:$M$67,10, FALSE), " ")/2</f>
        <v>#VALUE!</v>
      </c>
      <c r="N333" s="138" t="e">
        <f t="shared" si="304"/>
        <v>#VALUE!</v>
      </c>
      <c r="O333" s="135" t="str">
        <f>IFERROR(VLOOKUP(C333,'04_RALLYE CAM'!$D$66:$K$67,8,FALSE),"")</f>
        <v/>
      </c>
      <c r="P333" s="451" t="str">
        <f>IFERROR(VLOOKUP(C333,'04_RALLYE CAM'!$D$66:$M$67,10,FALSE),"")</f>
        <v/>
      </c>
      <c r="Q333" s="138" t="e">
        <f t="shared" si="305"/>
        <v>#VALUE!</v>
      </c>
      <c r="R333" s="135" t="str">
        <f>IFERROR(VLOOKUP(C333,'06_TCT NUEVO BAZTÁN'!$D$51:$K$52,8, FALSE), " ")</f>
        <v xml:space="preserve"> </v>
      </c>
      <c r="S333" s="451" t="str">
        <f>IFERROR(VLOOKUP(C333,'06_TCT NUEVO BAZTÁN'!$D$51:$M$52,10, FALSE), " ")</f>
        <v xml:space="preserve"> </v>
      </c>
      <c r="T333" s="138" t="e">
        <f t="shared" si="306"/>
        <v>#VALUE!</v>
      </c>
      <c r="U333" s="139" t="e">
        <f t="shared" si="307"/>
        <v>#VALUE!</v>
      </c>
      <c r="V333" s="147"/>
      <c r="W333" s="147"/>
      <c r="X333" s="147"/>
      <c r="Y333" s="140" t="str">
        <f>IF(Z333&gt;=3,"Sí","No")</f>
        <v>Sí</v>
      </c>
      <c r="Z333" s="141">
        <f>COUNTA(H333,K333,N333,Q333,T333,W333)</f>
        <v>5</v>
      </c>
    </row>
    <row r="334" spans="2:28" ht="13" x14ac:dyDescent="0.3"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149"/>
      <c r="Z334" s="127"/>
    </row>
    <row r="335" spans="2:28" ht="12.75" customHeight="1" x14ac:dyDescent="0.3">
      <c r="B335" s="1"/>
      <c r="C335" s="235"/>
      <c r="D335" s="284"/>
      <c r="E335" s="285" t="s">
        <v>534</v>
      </c>
      <c r="F335" s="147"/>
      <c r="G335" s="147"/>
      <c r="H335" s="147"/>
      <c r="I335" s="147"/>
      <c r="J335" s="147"/>
      <c r="K335" s="147"/>
      <c r="L335" s="147"/>
      <c r="M335" s="147"/>
      <c r="N335" s="147"/>
      <c r="O335" s="147"/>
      <c r="P335" s="147"/>
      <c r="Q335" s="147"/>
      <c r="R335" s="147"/>
      <c r="S335" s="147"/>
      <c r="T335" s="147"/>
      <c r="U335" s="147"/>
      <c r="V335" s="147"/>
      <c r="W335" s="147"/>
      <c r="X335" s="147"/>
      <c r="Y335" s="147"/>
      <c r="Z335" s="147"/>
      <c r="AA335" s="148"/>
      <c r="AB335" s="262"/>
    </row>
    <row r="336" spans="2:28" ht="13" x14ac:dyDescent="0.3">
      <c r="B336" s="4"/>
      <c r="C336" s="236"/>
      <c r="D336" s="155"/>
      <c r="E336" s="155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149"/>
      <c r="Z336" s="127"/>
    </row>
    <row r="337" spans="2:27" ht="13" x14ac:dyDescent="0.3"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149"/>
      <c r="Z337" s="127"/>
    </row>
    <row r="338" spans="2:27" ht="39" customHeight="1" x14ac:dyDescent="0.55000000000000004">
      <c r="B338" s="527" t="s">
        <v>520</v>
      </c>
      <c r="C338" s="527"/>
      <c r="D338" s="527"/>
      <c r="E338" s="527"/>
      <c r="F338" s="527"/>
      <c r="G338" s="527"/>
      <c r="H338" s="527"/>
      <c r="I338" s="527"/>
      <c r="J338" s="527"/>
      <c r="K338" s="527"/>
      <c r="L338" s="527"/>
      <c r="M338" s="527"/>
      <c r="N338" s="527"/>
      <c r="O338" s="527"/>
      <c r="P338" s="527"/>
      <c r="Q338" s="527"/>
      <c r="R338" s="527"/>
      <c r="S338" s="527"/>
      <c r="T338" s="527"/>
      <c r="U338" s="527"/>
      <c r="V338" s="527"/>
      <c r="W338" s="4"/>
      <c r="X338" s="4"/>
    </row>
    <row r="339" spans="2:27" ht="37.5" customHeight="1" x14ac:dyDescent="0.3">
      <c r="B339" s="523" t="s">
        <v>224</v>
      </c>
      <c r="C339" s="523"/>
      <c r="D339" s="523"/>
      <c r="E339" s="523"/>
      <c r="F339" s="523"/>
      <c r="G339" s="523"/>
      <c r="H339" s="523"/>
      <c r="I339" s="523"/>
      <c r="J339" s="523"/>
      <c r="K339" s="523"/>
      <c r="L339" s="523"/>
      <c r="M339" s="523"/>
      <c r="N339" s="523"/>
      <c r="O339" s="523"/>
      <c r="P339" s="523"/>
      <c r="Q339" s="523"/>
      <c r="R339" s="523"/>
      <c r="S339" s="523"/>
      <c r="T339" s="523"/>
      <c r="U339" s="523"/>
      <c r="V339" s="523"/>
      <c r="W339" s="4"/>
      <c r="X339" s="4"/>
      <c r="Y339" s="30"/>
      <c r="Z339" s="30"/>
    </row>
    <row r="340" spans="2:27" ht="12.75" customHeight="1" x14ac:dyDescent="0.3">
      <c r="B340" s="430"/>
      <c r="C340" s="416"/>
      <c r="D340" s="422"/>
      <c r="E340" s="224"/>
      <c r="F340" s="424"/>
      <c r="G340" s="422"/>
      <c r="H340" s="226"/>
      <c r="I340" s="426"/>
      <c r="J340" s="422"/>
      <c r="K340" s="226"/>
      <c r="L340" s="426"/>
      <c r="M340" s="422"/>
      <c r="N340" s="226"/>
      <c r="O340" s="426"/>
      <c r="P340" s="422"/>
      <c r="Q340" s="226"/>
      <c r="R340" s="426"/>
      <c r="S340" s="428" t="s">
        <v>213</v>
      </c>
      <c r="T340" s="422"/>
      <c r="U340" s="426"/>
      <c r="V340" s="428" t="s">
        <v>213</v>
      </c>
      <c r="W340" s="413"/>
      <c r="X340" s="431" t="s">
        <v>213</v>
      </c>
      <c r="Y340" s="30"/>
      <c r="Z340" s="30"/>
    </row>
    <row r="341" spans="2:27" ht="12.75" customHeight="1" x14ac:dyDescent="0.3">
      <c r="B341" s="159" t="s">
        <v>0</v>
      </c>
      <c r="C341" s="524" t="s">
        <v>1</v>
      </c>
      <c r="D341" s="525"/>
      <c r="E341" s="526"/>
      <c r="F341" s="421" t="s">
        <v>531</v>
      </c>
      <c r="G341" s="421"/>
      <c r="H341" s="260"/>
      <c r="I341" s="258" t="s">
        <v>524</v>
      </c>
      <c r="J341" s="421"/>
      <c r="K341" s="260"/>
      <c r="L341" s="258" t="s">
        <v>532</v>
      </c>
      <c r="M341" s="421"/>
      <c r="N341" s="260"/>
      <c r="O341" s="258" t="s">
        <v>526</v>
      </c>
      <c r="P341" s="421"/>
      <c r="Q341" s="260"/>
      <c r="R341" s="258" t="s">
        <v>287</v>
      </c>
      <c r="S341" s="421"/>
      <c r="T341" s="259"/>
      <c r="U341" s="258" t="s">
        <v>527</v>
      </c>
      <c r="V341" s="421"/>
      <c r="W341" s="260"/>
      <c r="X341" s="432" t="s">
        <v>9</v>
      </c>
      <c r="Y341" s="519" t="s">
        <v>223</v>
      </c>
      <c r="Z341" s="521" t="s">
        <v>4</v>
      </c>
    </row>
    <row r="342" spans="2:27" ht="12.75" customHeight="1" x14ac:dyDescent="0.3">
      <c r="B342" s="163"/>
      <c r="C342" s="417"/>
      <c r="D342" s="423"/>
      <c r="E342" s="219"/>
      <c r="F342" s="425"/>
      <c r="G342" s="423"/>
      <c r="H342" s="221"/>
      <c r="I342" s="427"/>
      <c r="J342" s="423"/>
      <c r="K342" s="221"/>
      <c r="L342" s="427"/>
      <c r="M342" s="423"/>
      <c r="N342" s="221"/>
      <c r="O342" s="427"/>
      <c r="P342" s="423"/>
      <c r="Q342" s="221"/>
      <c r="R342" s="427"/>
      <c r="S342" s="429"/>
      <c r="T342" s="423"/>
      <c r="U342" s="433"/>
      <c r="V342" s="434" t="s">
        <v>213</v>
      </c>
      <c r="W342" s="435"/>
      <c r="X342" s="256"/>
      <c r="Y342" s="520"/>
      <c r="Z342" s="522"/>
    </row>
    <row r="343" spans="2:27" ht="12.75" customHeight="1" x14ac:dyDescent="0.3">
      <c r="B343" s="133">
        <v>1</v>
      </c>
      <c r="C343" s="516" t="s">
        <v>332</v>
      </c>
      <c r="D343" s="517"/>
      <c r="E343" s="518"/>
      <c r="F343" s="142"/>
      <c r="G343" s="135">
        <f>8*2</f>
        <v>16</v>
      </c>
      <c r="H343" s="142"/>
      <c r="I343" s="142"/>
      <c r="J343" s="135">
        <v>8</v>
      </c>
      <c r="K343" s="142"/>
      <c r="L343" s="142"/>
      <c r="M343" s="135">
        <v>8</v>
      </c>
      <c r="N343" s="142"/>
      <c r="O343" s="142"/>
      <c r="P343" s="284"/>
      <c r="Q343" s="142"/>
      <c r="R343" s="142"/>
      <c r="S343" s="284"/>
      <c r="T343" s="142"/>
      <c r="U343" s="142"/>
      <c r="V343" s="284"/>
      <c r="W343" s="462"/>
      <c r="X343" s="420">
        <f>G343+J343+M343+P343+S343+V343</f>
        <v>32</v>
      </c>
      <c r="Y343" s="140" t="str">
        <f>IF(Z343&gt;=3,"Sí","No")</f>
        <v>Sí</v>
      </c>
      <c r="Z343" s="141">
        <f>COUNTA(G343,J343,M343,P343,S343,V343)</f>
        <v>3</v>
      </c>
      <c r="AA343" s="130" t="s">
        <v>552</v>
      </c>
    </row>
    <row r="344" spans="2:27" ht="13" x14ac:dyDescent="0.3">
      <c r="B344" s="133">
        <v>2</v>
      </c>
      <c r="C344" s="516"/>
      <c r="D344" s="517"/>
      <c r="E344" s="518"/>
      <c r="F344" s="142"/>
      <c r="G344" s="284"/>
      <c r="H344" s="142"/>
      <c r="I344" s="142"/>
      <c r="J344" s="284"/>
      <c r="K344" s="142"/>
      <c r="L344" s="142"/>
      <c r="M344" s="284"/>
      <c r="N344" s="142"/>
      <c r="O344" s="142"/>
      <c r="P344" s="284"/>
      <c r="Q344" s="142"/>
      <c r="R344" s="142"/>
      <c r="S344" s="284"/>
      <c r="T344" s="142"/>
      <c r="U344" s="142"/>
      <c r="V344" s="284"/>
      <c r="W344" s="462"/>
      <c r="X344" s="420">
        <f>G344+J344+M344+P344+S344+V344</f>
        <v>0</v>
      </c>
      <c r="Y344" s="140" t="str">
        <f>IF(Z344&gt;=3,"Sí","No")</f>
        <v>No</v>
      </c>
      <c r="Z344" s="141">
        <f>COUNTA(G344,J344,M344,P344,S344,V344)</f>
        <v>0</v>
      </c>
    </row>
    <row r="345" spans="2:27" x14ac:dyDescent="0.3">
      <c r="B345" s="264"/>
      <c r="C345" s="265"/>
      <c r="D345" s="265"/>
      <c r="E345" s="265"/>
      <c r="F345" s="265"/>
      <c r="G345" s="265"/>
      <c r="H345" s="265"/>
      <c r="I345" s="265"/>
      <c r="J345" s="265"/>
      <c r="K345" s="265"/>
      <c r="L345" s="265"/>
      <c r="M345" s="265"/>
      <c r="N345" s="265"/>
      <c r="O345" s="265"/>
      <c r="P345" s="265"/>
      <c r="Q345" s="265"/>
      <c r="R345" s="265"/>
      <c r="S345" s="265"/>
      <c r="T345" s="4"/>
      <c r="U345" s="4"/>
      <c r="V345" s="4"/>
      <c r="W345" s="4"/>
      <c r="X345" s="4"/>
    </row>
    <row r="346" spans="2:27" ht="12" x14ac:dyDescent="0.3">
      <c r="B346" s="4"/>
      <c r="C346" s="4"/>
      <c r="D346" s="284"/>
      <c r="E346" s="285" t="s">
        <v>551</v>
      </c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2:27" x14ac:dyDescent="0.3"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2:27" x14ac:dyDescent="0.3"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2:27" ht="39" customHeight="1" x14ac:dyDescent="0.55000000000000004">
      <c r="B349" s="527" t="s">
        <v>661</v>
      </c>
      <c r="C349" s="527"/>
      <c r="D349" s="527"/>
      <c r="E349" s="527"/>
      <c r="F349" s="527"/>
      <c r="G349" s="527"/>
      <c r="H349" s="527"/>
      <c r="I349" s="527"/>
      <c r="J349" s="527"/>
      <c r="K349" s="527"/>
      <c r="L349" s="527"/>
      <c r="M349" s="527"/>
      <c r="N349" s="527"/>
      <c r="O349" s="527"/>
      <c r="P349" s="527"/>
      <c r="Q349" s="527"/>
      <c r="R349" s="527"/>
      <c r="S349" s="527"/>
      <c r="T349" s="527"/>
      <c r="U349" s="527"/>
      <c r="V349" s="527"/>
      <c r="W349" s="4"/>
      <c r="X349" s="4"/>
    </row>
    <row r="350" spans="2:27" ht="37.5" customHeight="1" x14ac:dyDescent="0.3">
      <c r="B350" s="523" t="s">
        <v>338</v>
      </c>
      <c r="C350" s="523"/>
      <c r="D350" s="523"/>
      <c r="E350" s="523"/>
      <c r="F350" s="523"/>
      <c r="G350" s="523"/>
      <c r="H350" s="523"/>
      <c r="I350" s="523"/>
      <c r="J350" s="523"/>
      <c r="K350" s="523"/>
      <c r="L350" s="523"/>
      <c r="M350" s="523"/>
      <c r="N350" s="523"/>
      <c r="O350" s="523"/>
      <c r="P350" s="523"/>
      <c r="Q350" s="523"/>
      <c r="R350" s="523"/>
      <c r="S350" s="523"/>
      <c r="T350" s="523"/>
      <c r="U350" s="523"/>
      <c r="V350" s="523"/>
      <c r="W350" s="4"/>
      <c r="X350" s="4"/>
      <c r="Y350" s="30"/>
      <c r="Z350" s="30"/>
    </row>
    <row r="351" spans="2:27" ht="12.75" customHeight="1" x14ac:dyDescent="0.3">
      <c r="B351" s="430"/>
      <c r="C351" s="416"/>
      <c r="D351" s="422"/>
      <c r="E351" s="224"/>
      <c r="F351" s="424"/>
      <c r="G351" s="422"/>
      <c r="H351" s="226"/>
      <c r="I351" s="426"/>
      <c r="J351" s="422"/>
      <c r="K351" s="226"/>
      <c r="L351" s="426"/>
      <c r="M351" s="422"/>
      <c r="N351" s="226"/>
      <c r="O351" s="426"/>
      <c r="P351" s="422"/>
      <c r="Q351" s="226"/>
      <c r="R351" s="426"/>
      <c r="S351" s="428" t="s">
        <v>213</v>
      </c>
      <c r="T351" s="422"/>
      <c r="U351" s="426"/>
      <c r="V351" s="428" t="s">
        <v>213</v>
      </c>
      <c r="W351" s="413"/>
      <c r="X351" s="431" t="s">
        <v>213</v>
      </c>
      <c r="Y351" s="30"/>
      <c r="Z351" s="30"/>
    </row>
    <row r="352" spans="2:27" ht="12.75" customHeight="1" x14ac:dyDescent="0.3">
      <c r="B352" s="159" t="s">
        <v>0</v>
      </c>
      <c r="C352" s="524" t="s">
        <v>1</v>
      </c>
      <c r="D352" s="525"/>
      <c r="E352" s="526"/>
      <c r="F352" s="421" t="s">
        <v>531</v>
      </c>
      <c r="G352" s="421"/>
      <c r="H352" s="260"/>
      <c r="I352" s="258" t="s">
        <v>524</v>
      </c>
      <c r="J352" s="421"/>
      <c r="K352" s="260"/>
      <c r="L352" s="258" t="s">
        <v>532</v>
      </c>
      <c r="M352" s="421"/>
      <c r="N352" s="260"/>
      <c r="O352" s="258" t="s">
        <v>526</v>
      </c>
      <c r="P352" s="421"/>
      <c r="Q352" s="260"/>
      <c r="R352" s="258" t="s">
        <v>287</v>
      </c>
      <c r="S352" s="421"/>
      <c r="T352" s="259"/>
      <c r="U352" s="258" t="s">
        <v>527</v>
      </c>
      <c r="V352" s="421"/>
      <c r="W352" s="260"/>
      <c r="X352" s="432" t="s">
        <v>9</v>
      </c>
      <c r="Y352" s="519" t="s">
        <v>223</v>
      </c>
      <c r="Z352" s="521" t="s">
        <v>4</v>
      </c>
    </row>
    <row r="353" spans="2:27" ht="12.75" customHeight="1" x14ac:dyDescent="0.3">
      <c r="B353" s="163"/>
      <c r="C353" s="417"/>
      <c r="D353" s="423"/>
      <c r="E353" s="219"/>
      <c r="F353" s="425"/>
      <c r="G353" s="423"/>
      <c r="H353" s="221"/>
      <c r="I353" s="427"/>
      <c r="J353" s="423"/>
      <c r="K353" s="221"/>
      <c r="L353" s="427"/>
      <c r="M353" s="423"/>
      <c r="N353" s="221"/>
      <c r="O353" s="427"/>
      <c r="P353" s="423"/>
      <c r="Q353" s="221"/>
      <c r="R353" s="427"/>
      <c r="S353" s="429"/>
      <c r="T353" s="423"/>
      <c r="U353" s="433"/>
      <c r="V353" s="434" t="s">
        <v>213</v>
      </c>
      <c r="W353" s="435"/>
      <c r="X353" s="256"/>
      <c r="Y353" s="520"/>
      <c r="Z353" s="522"/>
    </row>
    <row r="354" spans="2:27" ht="12.75" customHeight="1" x14ac:dyDescent="0.3">
      <c r="B354" s="133">
        <v>1</v>
      </c>
      <c r="C354" s="516" t="s">
        <v>358</v>
      </c>
      <c r="D354" s="517"/>
      <c r="E354" s="518"/>
      <c r="F354" s="317"/>
      <c r="G354" s="498">
        <f>10*2</f>
        <v>20</v>
      </c>
      <c r="H354" s="419"/>
      <c r="I354" s="317"/>
      <c r="J354" s="498">
        <f>10</f>
        <v>10</v>
      </c>
      <c r="K354" s="419"/>
      <c r="L354" s="317"/>
      <c r="M354" s="498">
        <f>10</f>
        <v>10</v>
      </c>
      <c r="N354" s="419"/>
      <c r="O354" s="317"/>
      <c r="P354" s="418"/>
      <c r="Q354" s="419"/>
      <c r="R354" s="419"/>
      <c r="S354" s="418"/>
      <c r="T354" s="419"/>
      <c r="U354" s="419"/>
      <c r="V354" s="418"/>
      <c r="W354" s="462"/>
      <c r="X354" s="420">
        <f>G354+J354+M354+P354+S354+V354</f>
        <v>40</v>
      </c>
      <c r="Y354" s="140" t="str">
        <f>IF(Z354&gt;=3,"Sí","No")</f>
        <v>Sí</v>
      </c>
      <c r="Z354" s="141">
        <f>COUNTA(G354,J354,M354,P354,S354,V354)</f>
        <v>3</v>
      </c>
      <c r="AA354" s="130" t="s">
        <v>552</v>
      </c>
    </row>
    <row r="355" spans="2:27" ht="13" x14ac:dyDescent="0.3">
      <c r="B355" s="133">
        <v>2</v>
      </c>
      <c r="C355" s="516"/>
      <c r="D355" s="517"/>
      <c r="E355" s="518"/>
      <c r="F355" s="317"/>
      <c r="G355" s="418"/>
      <c r="H355" s="419"/>
      <c r="I355" s="317"/>
      <c r="J355" s="418"/>
      <c r="K355" s="419"/>
      <c r="L355" s="317"/>
      <c r="M355" s="418"/>
      <c r="N355" s="419"/>
      <c r="O355" s="317"/>
      <c r="P355" s="418"/>
      <c r="Q355" s="419"/>
      <c r="R355" s="419"/>
      <c r="S355" s="418"/>
      <c r="T355" s="419"/>
      <c r="U355" s="419"/>
      <c r="V355" s="418"/>
      <c r="W355" s="462"/>
      <c r="X355" s="420">
        <f>G355+J355+M355+P355+S355+V355</f>
        <v>0</v>
      </c>
      <c r="Y355" s="140" t="str">
        <f>IF(Z355&gt;=3,"Sí","No")</f>
        <v>No</v>
      </c>
      <c r="Z355" s="141">
        <f>COUNTA(G355,J355,M355,P355,S355,V355)</f>
        <v>0</v>
      </c>
    </row>
    <row r="356" spans="2:27" x14ac:dyDescent="0.3">
      <c r="B356" s="264"/>
      <c r="C356" s="265"/>
      <c r="D356" s="265"/>
      <c r="E356" s="265"/>
      <c r="F356" s="265"/>
      <c r="G356" s="265"/>
      <c r="H356" s="265"/>
      <c r="I356" s="265"/>
      <c r="J356" s="265"/>
      <c r="K356" s="265"/>
      <c r="L356" s="265"/>
      <c r="M356" s="265"/>
      <c r="N356" s="265"/>
      <c r="O356" s="265"/>
      <c r="P356" s="265"/>
      <c r="Q356" s="265"/>
      <c r="R356" s="265"/>
      <c r="S356" s="265"/>
      <c r="T356" s="4"/>
      <c r="U356" s="4"/>
      <c r="V356" s="4"/>
      <c r="W356" s="4"/>
      <c r="X356" s="4"/>
    </row>
    <row r="357" spans="2:27" ht="12" x14ac:dyDescent="0.3">
      <c r="B357" s="4"/>
      <c r="C357" s="4"/>
      <c r="D357" s="284"/>
      <c r="E357" s="285" t="s">
        <v>551</v>
      </c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2:27" x14ac:dyDescent="0.3"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2:27" x14ac:dyDescent="0.3"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2:27" ht="39" customHeight="1" x14ac:dyDescent="0.55000000000000004">
      <c r="B360" s="527" t="s">
        <v>521</v>
      </c>
      <c r="C360" s="527"/>
      <c r="D360" s="527"/>
      <c r="E360" s="527"/>
      <c r="F360" s="527"/>
      <c r="G360" s="527"/>
      <c r="H360" s="527"/>
      <c r="I360" s="527"/>
      <c r="J360" s="527"/>
      <c r="K360" s="527"/>
      <c r="L360" s="527"/>
      <c r="M360" s="527"/>
      <c r="N360" s="527"/>
      <c r="O360" s="527"/>
      <c r="P360" s="527"/>
      <c r="Q360" s="527"/>
      <c r="R360" s="527"/>
      <c r="S360" s="527"/>
      <c r="T360" s="527"/>
      <c r="U360" s="527"/>
      <c r="V360" s="527"/>
      <c r="W360" s="4"/>
      <c r="X360" s="4"/>
    </row>
    <row r="361" spans="2:27" ht="37.5" customHeight="1" x14ac:dyDescent="0.3">
      <c r="B361" s="523" t="s">
        <v>224</v>
      </c>
      <c r="C361" s="523"/>
      <c r="D361" s="523"/>
      <c r="E361" s="523"/>
      <c r="F361" s="523"/>
      <c r="G361" s="523"/>
      <c r="H361" s="523"/>
      <c r="I361" s="523"/>
      <c r="J361" s="523"/>
      <c r="K361" s="523"/>
      <c r="L361" s="523"/>
      <c r="M361" s="523"/>
      <c r="N361" s="523"/>
      <c r="O361" s="523"/>
      <c r="P361" s="523"/>
      <c r="Q361" s="523"/>
      <c r="R361" s="523"/>
      <c r="S361" s="523"/>
      <c r="T361" s="523"/>
      <c r="U361" s="523"/>
      <c r="V361" s="523"/>
      <c r="W361" s="4"/>
      <c r="X361" s="4"/>
      <c r="Y361" s="30"/>
      <c r="Z361" s="30"/>
    </row>
    <row r="362" spans="2:27" ht="12.75" customHeight="1" x14ac:dyDescent="0.3">
      <c r="B362" s="430"/>
      <c r="C362" s="416"/>
      <c r="D362" s="422"/>
      <c r="E362" s="224"/>
      <c r="F362" s="424"/>
      <c r="G362" s="422"/>
      <c r="H362" s="226"/>
      <c r="I362" s="426"/>
      <c r="J362" s="422"/>
      <c r="K362" s="226"/>
      <c r="L362" s="426"/>
      <c r="M362" s="422"/>
      <c r="N362" s="226"/>
      <c r="O362" s="426"/>
      <c r="P362" s="422"/>
      <c r="Q362" s="226"/>
      <c r="R362" s="426"/>
      <c r="S362" s="428" t="s">
        <v>213</v>
      </c>
      <c r="T362" s="422"/>
      <c r="U362" s="426"/>
      <c r="V362" s="428" t="s">
        <v>213</v>
      </c>
      <c r="W362" s="413"/>
      <c r="X362" s="431" t="s">
        <v>213</v>
      </c>
      <c r="Y362" s="30"/>
      <c r="Z362" s="30"/>
    </row>
    <row r="363" spans="2:27" ht="12.75" customHeight="1" x14ac:dyDescent="0.3">
      <c r="B363" s="159" t="s">
        <v>0</v>
      </c>
      <c r="C363" s="524" t="s">
        <v>1</v>
      </c>
      <c r="D363" s="525"/>
      <c r="E363" s="526"/>
      <c r="F363" s="421" t="s">
        <v>531</v>
      </c>
      <c r="G363" s="421"/>
      <c r="H363" s="260"/>
      <c r="I363" s="258" t="s">
        <v>524</v>
      </c>
      <c r="J363" s="421"/>
      <c r="K363" s="260"/>
      <c r="L363" s="258" t="s">
        <v>532</v>
      </c>
      <c r="M363" s="421"/>
      <c r="N363" s="260"/>
      <c r="O363" s="258" t="s">
        <v>526</v>
      </c>
      <c r="P363" s="421"/>
      <c r="Q363" s="260"/>
      <c r="R363" s="258" t="s">
        <v>287</v>
      </c>
      <c r="S363" s="421"/>
      <c r="T363" s="259"/>
      <c r="U363" s="258" t="s">
        <v>527</v>
      </c>
      <c r="V363" s="421"/>
      <c r="W363" s="260"/>
      <c r="X363" s="432" t="s">
        <v>9</v>
      </c>
      <c r="Y363" s="519" t="s">
        <v>223</v>
      </c>
      <c r="Z363" s="521" t="s">
        <v>4</v>
      </c>
    </row>
    <row r="364" spans="2:27" ht="12.75" customHeight="1" x14ac:dyDescent="0.3">
      <c r="B364" s="163"/>
      <c r="C364" s="417"/>
      <c r="D364" s="423"/>
      <c r="E364" s="219"/>
      <c r="F364" s="425"/>
      <c r="G364" s="423"/>
      <c r="H364" s="221"/>
      <c r="I364" s="427"/>
      <c r="J364" s="423"/>
      <c r="K364" s="221"/>
      <c r="L364" s="427"/>
      <c r="M364" s="423"/>
      <c r="N364" s="221"/>
      <c r="O364" s="427"/>
      <c r="P364" s="423"/>
      <c r="Q364" s="221"/>
      <c r="R364" s="427"/>
      <c r="S364" s="429"/>
      <c r="T364" s="423"/>
      <c r="U364" s="433"/>
      <c r="V364" s="434" t="s">
        <v>213</v>
      </c>
      <c r="W364" s="435"/>
      <c r="X364" s="256"/>
      <c r="Y364" s="520"/>
      <c r="Z364" s="522"/>
    </row>
    <row r="365" spans="2:27" ht="12.75" customHeight="1" x14ac:dyDescent="0.3">
      <c r="B365" s="133"/>
      <c r="C365" s="516"/>
      <c r="D365" s="517"/>
      <c r="E365" s="518"/>
      <c r="F365" s="317"/>
      <c r="G365" s="418" t="e">
        <f>IFERROR(VLOOKUP(C365,'01_RS ALCARRIA'!$D$6:$O$70,12,FALSE),"")*2</f>
        <v>#VALUE!</v>
      </c>
      <c r="H365" s="419"/>
      <c r="I365" s="317"/>
      <c r="J365" s="135" t="str">
        <f>IFERROR(VLOOKUP(C365,'02_TCT GUADAMUR'!$D$6:$O$70,12,FALSE),"")</f>
        <v/>
      </c>
      <c r="K365" s="419"/>
      <c r="L365" s="317"/>
      <c r="M365" s="418" t="str">
        <f>IFERROR(VLOOKUP(C365,#REF!,12,FALSE),"")</f>
        <v/>
      </c>
      <c r="N365" s="419"/>
      <c r="O365" s="317"/>
      <c r="P365" s="418" t="e">
        <f>IFERROR(VLOOKUP(C365,'04_RALLYE CAM'!$D$6:$O$70,12,FALSE),"")*3</f>
        <v>#VALUE!</v>
      </c>
      <c r="Q365" s="419"/>
      <c r="R365" s="419"/>
      <c r="S365" s="418" t="e">
        <f>IFERROR(VLOOKUP(C365,'05_RS NAVALCARNERO'!$D$6:$O$70,12,FALSE),"")*2</f>
        <v>#VALUE!</v>
      </c>
      <c r="T365" s="419"/>
      <c r="U365" s="419"/>
      <c r="V365" s="418" t="str">
        <f>IFERROR(VLOOKUP(C365,'06_TCT NUEVO BAZTÁN'!$D$6:$O$70,12,FALSE),"")</f>
        <v/>
      </c>
      <c r="W365" s="462"/>
      <c r="X365" s="420" t="e">
        <f>G365+J365+M365+P365+S365+V365</f>
        <v>#VALUE!</v>
      </c>
      <c r="Y365" s="140" t="str">
        <f>IF(Z365&gt;=3,"Sí","No")</f>
        <v>Sí</v>
      </c>
      <c r="Z365" s="141">
        <f>COUNTA(G365,J365,M365,P365,S365,V365)</f>
        <v>6</v>
      </c>
      <c r="AA365" s="130" t="s">
        <v>552</v>
      </c>
    </row>
    <row r="366" spans="2:27" x14ac:dyDescent="0.3"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2:27" ht="12" x14ac:dyDescent="0.3">
      <c r="B367" s="4"/>
      <c r="C367" s="4"/>
      <c r="D367" s="284"/>
      <c r="E367" s="285" t="s">
        <v>551</v>
      </c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2:27" ht="12" x14ac:dyDescent="0.3">
      <c r="B368" s="4"/>
      <c r="C368" s="236" t="s">
        <v>510</v>
      </c>
      <c r="D368" s="237" t="s">
        <v>273</v>
      </c>
      <c r="E368" s="238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2:26" ht="39" customHeight="1" x14ac:dyDescent="0.55000000000000004">
      <c r="B369" s="527" t="s">
        <v>522</v>
      </c>
      <c r="C369" s="527"/>
      <c r="D369" s="527"/>
      <c r="E369" s="527"/>
      <c r="F369" s="527"/>
      <c r="G369" s="527"/>
      <c r="H369" s="527"/>
      <c r="I369" s="527"/>
      <c r="J369" s="527"/>
      <c r="K369" s="527"/>
      <c r="L369" s="527"/>
      <c r="M369" s="527"/>
      <c r="N369" s="527"/>
      <c r="O369" s="527"/>
      <c r="P369" s="527"/>
      <c r="Q369" s="527"/>
      <c r="R369" s="527"/>
      <c r="S369" s="527"/>
      <c r="T369" s="527"/>
      <c r="U369" s="527"/>
      <c r="V369" s="527"/>
      <c r="W369" s="4"/>
      <c r="X369" s="4"/>
    </row>
    <row r="370" spans="2:26" ht="37.5" customHeight="1" x14ac:dyDescent="0.3">
      <c r="B370" s="523" t="s">
        <v>338</v>
      </c>
      <c r="C370" s="523"/>
      <c r="D370" s="523"/>
      <c r="E370" s="523"/>
      <c r="F370" s="523"/>
      <c r="G370" s="523"/>
      <c r="H370" s="523"/>
      <c r="I370" s="523"/>
      <c r="J370" s="523"/>
      <c r="K370" s="523"/>
      <c r="L370" s="523"/>
      <c r="M370" s="523"/>
      <c r="N370" s="523"/>
      <c r="O370" s="523"/>
      <c r="P370" s="523"/>
      <c r="Q370" s="523"/>
      <c r="R370" s="523"/>
      <c r="S370" s="523"/>
      <c r="T370" s="523"/>
      <c r="U370" s="523"/>
      <c r="V370" s="523"/>
      <c r="W370" s="4"/>
      <c r="X370" s="4"/>
      <c r="Y370" s="30"/>
      <c r="Z370" s="30"/>
    </row>
    <row r="371" spans="2:26" ht="12.75" customHeight="1" x14ac:dyDescent="0.3">
      <c r="B371" s="430"/>
      <c r="C371" s="416"/>
      <c r="D371" s="422"/>
      <c r="E371" s="224"/>
      <c r="F371" s="424"/>
      <c r="G371" s="422"/>
      <c r="H371" s="226"/>
      <c r="I371" s="426"/>
      <c r="J371" s="422"/>
      <c r="K371" s="226"/>
      <c r="L371" s="426"/>
      <c r="M371" s="422"/>
      <c r="N371" s="226"/>
      <c r="O371" s="426"/>
      <c r="P371" s="422"/>
      <c r="Q371" s="226"/>
      <c r="R371" s="426"/>
      <c r="S371" s="428" t="s">
        <v>213</v>
      </c>
      <c r="T371" s="422"/>
      <c r="U371" s="426"/>
      <c r="V371" s="428" t="s">
        <v>213</v>
      </c>
      <c r="W371" s="413"/>
      <c r="X371" s="431" t="s">
        <v>213</v>
      </c>
      <c r="Y371" s="30"/>
      <c r="Z371" s="30"/>
    </row>
    <row r="372" spans="2:26" ht="12.75" customHeight="1" x14ac:dyDescent="0.3">
      <c r="B372" s="159" t="s">
        <v>0</v>
      </c>
      <c r="C372" s="524" t="s">
        <v>166</v>
      </c>
      <c r="D372" s="525"/>
      <c r="E372" s="526"/>
      <c r="F372" s="421" t="s">
        <v>531</v>
      </c>
      <c r="G372" s="421"/>
      <c r="H372" s="260"/>
      <c r="I372" s="258" t="s">
        <v>524</v>
      </c>
      <c r="J372" s="421"/>
      <c r="K372" s="260"/>
      <c r="L372" s="258" t="s">
        <v>532</v>
      </c>
      <c r="M372" s="421"/>
      <c r="N372" s="260"/>
      <c r="O372" s="258" t="s">
        <v>526</v>
      </c>
      <c r="P372" s="421"/>
      <c r="Q372" s="260"/>
      <c r="R372" s="258" t="s">
        <v>287</v>
      </c>
      <c r="S372" s="421"/>
      <c r="T372" s="259"/>
      <c r="U372" s="258" t="s">
        <v>527</v>
      </c>
      <c r="V372" s="421"/>
      <c r="W372" s="260"/>
      <c r="X372" s="432" t="s">
        <v>9</v>
      </c>
      <c r="Y372" s="519" t="s">
        <v>223</v>
      </c>
      <c r="Z372" s="521" t="s">
        <v>4</v>
      </c>
    </row>
    <row r="373" spans="2:26" ht="12.75" customHeight="1" x14ac:dyDescent="0.3">
      <c r="B373" s="163"/>
      <c r="C373" s="417"/>
      <c r="D373" s="423"/>
      <c r="E373" s="219"/>
      <c r="F373" s="425"/>
      <c r="G373" s="423"/>
      <c r="H373" s="221"/>
      <c r="I373" s="427"/>
      <c r="J373" s="423"/>
      <c r="K373" s="221"/>
      <c r="L373" s="427"/>
      <c r="M373" s="423"/>
      <c r="N373" s="221"/>
      <c r="O373" s="427"/>
      <c r="P373" s="423"/>
      <c r="Q373" s="221"/>
      <c r="R373" s="427"/>
      <c r="S373" s="429"/>
      <c r="T373" s="423"/>
      <c r="U373" s="433"/>
      <c r="V373" s="434" t="s">
        <v>213</v>
      </c>
      <c r="W373" s="435"/>
      <c r="X373" s="256"/>
      <c r="Y373" s="520"/>
      <c r="Z373" s="522"/>
    </row>
    <row r="374" spans="2:26" ht="12.75" customHeight="1" x14ac:dyDescent="0.3">
      <c r="B374" s="133">
        <v>1</v>
      </c>
      <c r="C374" s="516" t="s">
        <v>596</v>
      </c>
      <c r="D374" s="517"/>
      <c r="E374" s="518"/>
      <c r="F374" s="142"/>
      <c r="G374" s="137">
        <f>IFERROR(VLOOKUP(C374,'01_RS ALCARRIA'!$F$6:$U$70,15, FALSE), " ")*2</f>
        <v>10</v>
      </c>
      <c r="H374" s="142"/>
      <c r="I374" s="142"/>
      <c r="J374" s="137">
        <f>IFERROR(VLOOKUP(C374,'02_TCT GUADAMUR'!$F$6:$U$70,15, FALSE), " ")</f>
        <v>6</v>
      </c>
      <c r="K374" s="142"/>
      <c r="L374" s="142"/>
      <c r="M374" s="137">
        <f>IFERROR(VLOOKUP(C374,'03_TCT MAQUEDA'!$F$6:$U$70,15, FALSE), " ")</f>
        <v>6</v>
      </c>
      <c r="N374" s="142"/>
      <c r="O374" s="142"/>
      <c r="P374" s="137" t="e">
        <f>IFERROR(VLOOKUP(C374,'04_RALLYE CAM'!$F$6:$U$70,15, FALSE), " ")*3</f>
        <v>#VALUE!</v>
      </c>
      <c r="Q374" s="142"/>
      <c r="R374" s="142"/>
      <c r="S374" s="137" t="e">
        <f>IFERROR(VLOOKUP(C374,'05_RS NAVALCARNERO'!$F$6:$U$70,15, FALSE), " ")*2</f>
        <v>#VALUE!</v>
      </c>
      <c r="T374" s="142"/>
      <c r="U374" s="142"/>
      <c r="V374" s="137" t="str">
        <f>IFERROR(VLOOKUP(C374,'06_TCT NUEVO BAZTÁN'!$F$6:$U$70,15, FALSE), " ")</f>
        <v xml:space="preserve"> </v>
      </c>
      <c r="W374" s="142"/>
      <c r="X374" s="420" t="e">
        <f>G374+J374+M374+P374+S374+V374</f>
        <v>#VALUE!</v>
      </c>
      <c r="Y374" s="140" t="str">
        <f t="shared" ref="Y374:Y383" si="309">IF(Z374&gt;=3,"Sí","No")</f>
        <v>Sí</v>
      </c>
      <c r="Z374" s="141">
        <f>COUNTA(G374,J374,M374,P374,S374,V374)</f>
        <v>6</v>
      </c>
    </row>
    <row r="375" spans="2:26" ht="13" x14ac:dyDescent="0.3">
      <c r="B375" s="133">
        <v>2</v>
      </c>
      <c r="C375" s="516" t="s">
        <v>620</v>
      </c>
      <c r="D375" s="517"/>
      <c r="E375" s="518"/>
      <c r="F375" s="142"/>
      <c r="G375" s="137">
        <f>IFERROR(VLOOKUP(C375,'01_RS ALCARRIA'!$F$6:$U$70,15, FALSE), " ")*2</f>
        <v>0</v>
      </c>
      <c r="H375" s="142"/>
      <c r="I375" s="142"/>
      <c r="J375" s="137" t="str">
        <f>IFERROR(VLOOKUP(C375,'02_TCT GUADAMUR'!$F$6:$U$70,15, FALSE), " ")</f>
        <v xml:space="preserve"> </v>
      </c>
      <c r="K375" s="142"/>
      <c r="L375" s="142"/>
      <c r="M375" s="137" t="str">
        <f>IFERROR(VLOOKUP(C375,'03_TCT MAQUEDA'!$F$6:$U$70,15, FALSE), " ")</f>
        <v xml:space="preserve"> </v>
      </c>
      <c r="N375" s="142"/>
      <c r="O375" s="142"/>
      <c r="P375" s="137" t="e">
        <f>IFERROR(VLOOKUP(C375,'04_RALLYE CAM'!$F$6:$U$70,15, FALSE), " ")*3</f>
        <v>#VALUE!</v>
      </c>
      <c r="Q375" s="142"/>
      <c r="R375" s="142"/>
      <c r="S375" s="137" t="e">
        <f>IFERROR(VLOOKUP(C375,'05_RS NAVALCARNERO'!$F$6:$U$70,15, FALSE), " ")*2</f>
        <v>#VALUE!</v>
      </c>
      <c r="T375" s="142"/>
      <c r="U375" s="142"/>
      <c r="V375" s="137" t="str">
        <f>IFERROR(VLOOKUP(C375,'06_TCT NUEVO BAZTÁN'!$F$6:$U$70,15, FALSE), " ")</f>
        <v xml:space="preserve"> </v>
      </c>
      <c r="W375" s="142"/>
      <c r="X375" s="420" t="e">
        <f t="shared" ref="X375:X383" si="310">G375+J375+M375+P375+S375+V375</f>
        <v>#VALUE!</v>
      </c>
      <c r="Y375" s="140" t="str">
        <f t="shared" si="309"/>
        <v>Sí</v>
      </c>
      <c r="Z375" s="141">
        <f t="shared" ref="Z375:Z383" si="311">COUNTA(G375,J375,M375,P375,S375,V375)</f>
        <v>6</v>
      </c>
    </row>
    <row r="376" spans="2:26" ht="13" x14ac:dyDescent="0.3">
      <c r="B376" s="133">
        <v>3</v>
      </c>
      <c r="C376" s="516" t="s">
        <v>625</v>
      </c>
      <c r="D376" s="517"/>
      <c r="E376" s="518"/>
      <c r="F376" s="142"/>
      <c r="G376" s="137">
        <f>IFERROR(VLOOKUP(C376,'01_RS ALCARRIA'!$F$6:$U$70,15, FALSE), " ")*2</f>
        <v>20</v>
      </c>
      <c r="H376" s="142"/>
      <c r="I376" s="142"/>
      <c r="J376" s="137">
        <f>IFERROR(VLOOKUP(C376,'02_TCT GUADAMUR'!$F$6:$U$70,15, FALSE), " ")</f>
        <v>8</v>
      </c>
      <c r="K376" s="142"/>
      <c r="L376" s="142"/>
      <c r="M376" s="137" t="str">
        <f>IFERROR(VLOOKUP(C376,'03_TCT MAQUEDA'!$F$6:$U$70,15, FALSE), " ")</f>
        <v xml:space="preserve"> </v>
      </c>
      <c r="N376" s="142"/>
      <c r="O376" s="142"/>
      <c r="P376" s="137" t="e">
        <f>IFERROR(VLOOKUP(C376,'04_RALLYE CAM'!$F$6:$U$70,15, FALSE), " ")*3</f>
        <v>#VALUE!</v>
      </c>
      <c r="Q376" s="142"/>
      <c r="R376" s="142"/>
      <c r="S376" s="137" t="e">
        <f>IFERROR(VLOOKUP(C376,'05_RS NAVALCARNERO'!$F$6:$U$70,15, FALSE), " ")*2</f>
        <v>#VALUE!</v>
      </c>
      <c r="T376" s="142"/>
      <c r="U376" s="142"/>
      <c r="V376" s="137" t="str">
        <f>IFERROR(VLOOKUP(C376,'06_TCT NUEVO BAZTÁN'!$F$6:$U$70,15, FALSE), " ")</f>
        <v xml:space="preserve"> </v>
      </c>
      <c r="W376" s="142"/>
      <c r="X376" s="420" t="e">
        <f t="shared" si="310"/>
        <v>#VALUE!</v>
      </c>
      <c r="Y376" s="140" t="str">
        <f t="shared" si="309"/>
        <v>Sí</v>
      </c>
      <c r="Z376" s="141">
        <f t="shared" si="311"/>
        <v>6</v>
      </c>
    </row>
    <row r="377" spans="2:26" ht="12.75" customHeight="1" x14ac:dyDescent="0.3">
      <c r="B377" s="133">
        <v>4</v>
      </c>
      <c r="C377" s="516" t="s">
        <v>638</v>
      </c>
      <c r="D377" s="517"/>
      <c r="E377" s="518"/>
      <c r="F377" s="142"/>
      <c r="G377" s="137" t="e">
        <f>IFERROR(VLOOKUP(C377,'01_RS ALCARRIA'!$F$6:$U$70,15, FALSE), " ")*2</f>
        <v>#VALUE!</v>
      </c>
      <c r="H377" s="142"/>
      <c r="I377" s="142"/>
      <c r="J377" s="137">
        <f>IFERROR(VLOOKUP(C377,'02_TCT GUADAMUR'!$F$6:$U$70,15, FALSE), " ")</f>
        <v>5</v>
      </c>
      <c r="K377" s="142"/>
      <c r="L377" s="142"/>
      <c r="M377" s="137">
        <f>IFERROR(VLOOKUP(C377,'03_TCT MAQUEDA'!$F$6:$U$70,15, FALSE), " ")</f>
        <v>10</v>
      </c>
      <c r="N377" s="142"/>
      <c r="O377" s="142"/>
      <c r="P377" s="137" t="e">
        <f>IFERROR(VLOOKUP(C377,'04_RALLYE CAM'!$F$6:$U$70,15, FALSE), " ")*3</f>
        <v>#VALUE!</v>
      </c>
      <c r="Q377" s="142"/>
      <c r="R377" s="142"/>
      <c r="S377" s="137" t="e">
        <f>IFERROR(VLOOKUP(C377,'05_RS NAVALCARNERO'!$F$6:$U$70,15, FALSE), " ")*2</f>
        <v>#VALUE!</v>
      </c>
      <c r="T377" s="142"/>
      <c r="U377" s="142"/>
      <c r="V377" s="137" t="str">
        <f>IFERROR(VLOOKUP(C377,'06_TCT NUEVO BAZTÁN'!$F$6:$U$70,15, FALSE), " ")</f>
        <v xml:space="preserve"> </v>
      </c>
      <c r="W377" s="142"/>
      <c r="X377" s="420" t="e">
        <f t="shared" si="310"/>
        <v>#VALUE!</v>
      </c>
      <c r="Y377" s="140" t="str">
        <f t="shared" si="309"/>
        <v>Sí</v>
      </c>
      <c r="Z377" s="141">
        <f t="shared" si="311"/>
        <v>6</v>
      </c>
    </row>
    <row r="378" spans="2:26" ht="12.75" customHeight="1" x14ac:dyDescent="0.3">
      <c r="B378" s="133">
        <v>5</v>
      </c>
      <c r="C378" s="516" t="s">
        <v>358</v>
      </c>
      <c r="D378" s="517"/>
      <c r="E378" s="518"/>
      <c r="F378" s="142"/>
      <c r="G378" s="137">
        <f>IFERROR(VLOOKUP(C378,'01_RS ALCARRIA'!$F$6:$U$70,15, FALSE), " ")*2</f>
        <v>20</v>
      </c>
      <c r="H378" s="142"/>
      <c r="I378" s="142"/>
      <c r="J378" s="137">
        <f>IFERROR(VLOOKUP(C378,'02_TCT GUADAMUR'!$F$6:$U$70,15, FALSE), " ")</f>
        <v>10</v>
      </c>
      <c r="K378" s="142"/>
      <c r="L378" s="142"/>
      <c r="M378" s="137">
        <f>IFERROR(VLOOKUP(C378,'03_TCT MAQUEDA'!$F$6:$U$70,15, FALSE), " ")</f>
        <v>10</v>
      </c>
      <c r="N378" s="142"/>
      <c r="O378" s="142"/>
      <c r="P378" s="137">
        <f>IFERROR(VLOOKUP(C378,'04_RALLYE CAM'!$F$6:$U$70,15, FALSE), " ")*3</f>
        <v>30</v>
      </c>
      <c r="Q378" s="142"/>
      <c r="R378" s="142"/>
      <c r="S378" s="137">
        <f>IFERROR(VLOOKUP(C378,'05_RS NAVALCARNERO'!$F$6:$U$70,15, FALSE), " ")*2</f>
        <v>20</v>
      </c>
      <c r="T378" s="142"/>
      <c r="U378" s="142"/>
      <c r="V378" s="137">
        <f>IFERROR(VLOOKUP(C378,'06_TCT NUEVO BAZTÁN'!$F$6:$U$70,15, FALSE), " ")</f>
        <v>10</v>
      </c>
      <c r="W378" s="142"/>
      <c r="X378" s="420">
        <f t="shared" si="310"/>
        <v>100</v>
      </c>
      <c r="Y378" s="140" t="str">
        <f t="shared" si="309"/>
        <v>Sí</v>
      </c>
      <c r="Z378" s="141">
        <f t="shared" si="311"/>
        <v>6</v>
      </c>
    </row>
    <row r="379" spans="2:26" ht="12.75" customHeight="1" x14ac:dyDescent="0.3">
      <c r="B379" s="133">
        <v>6</v>
      </c>
      <c r="C379" s="516" t="s">
        <v>360</v>
      </c>
      <c r="D379" s="517"/>
      <c r="E379" s="518"/>
      <c r="F379" s="142"/>
      <c r="G379" s="137">
        <f>IFERROR(VLOOKUP(C379,'01_RS ALCARRIA'!$F$6:$U$70,15, FALSE), " ")*2</f>
        <v>16</v>
      </c>
      <c r="H379" s="142"/>
      <c r="I379" s="142"/>
      <c r="J379" s="137">
        <f>IFERROR(VLOOKUP(C379,'02_TCT GUADAMUR'!$F$6:$U$70,15, FALSE), " ")</f>
        <v>8</v>
      </c>
      <c r="K379" s="142"/>
      <c r="L379" s="142"/>
      <c r="M379" s="137">
        <v>0</v>
      </c>
      <c r="N379" s="142"/>
      <c r="O379" s="142"/>
      <c r="P379" s="137" t="e">
        <f>IFERROR(VLOOKUP(C379,'04_RALLYE CAM'!$F$6:$U$70,15, FALSE), " ")*3</f>
        <v>#VALUE!</v>
      </c>
      <c r="Q379" s="142"/>
      <c r="R379" s="142"/>
      <c r="S379" s="137" t="e">
        <f>IFERROR(VLOOKUP(C379,'05_RS NAVALCARNERO'!$F$6:$U$70,15, FALSE), " ")*2</f>
        <v>#VALUE!</v>
      </c>
      <c r="T379" s="142"/>
      <c r="U379" s="142"/>
      <c r="V379" s="137" t="str">
        <f>IFERROR(VLOOKUP(C379,'06_TCT NUEVO BAZTÁN'!$F$6:$U$70,15, FALSE), " ")</f>
        <v xml:space="preserve"> </v>
      </c>
      <c r="W379" s="142"/>
      <c r="X379" s="420" t="e">
        <f t="shared" si="310"/>
        <v>#VALUE!</v>
      </c>
      <c r="Y379" s="140" t="str">
        <f t="shared" si="309"/>
        <v>Sí</v>
      </c>
      <c r="Z379" s="141">
        <f t="shared" si="311"/>
        <v>6</v>
      </c>
    </row>
    <row r="380" spans="2:26" ht="12.75" customHeight="1" x14ac:dyDescent="0.3">
      <c r="B380" s="133">
        <v>6</v>
      </c>
      <c r="C380" s="516" t="s">
        <v>458</v>
      </c>
      <c r="D380" s="517"/>
      <c r="E380" s="518"/>
      <c r="F380" s="142"/>
      <c r="G380" s="137" t="e">
        <f>IFERROR(VLOOKUP(C380,'01_RS ALCARRIA'!$F$6:$U$70,15, FALSE), " ")*2</f>
        <v>#VALUE!</v>
      </c>
      <c r="H380" s="142"/>
      <c r="I380" s="142"/>
      <c r="J380" s="137" t="str">
        <f>IFERROR(VLOOKUP(C380,'02_TCT GUADAMUR'!$F$6:$U$70,15, FALSE), " ")</f>
        <v/>
      </c>
      <c r="K380" s="142"/>
      <c r="L380" s="142"/>
      <c r="M380" s="137">
        <v>0</v>
      </c>
      <c r="N380" s="142"/>
      <c r="O380" s="142"/>
      <c r="P380" s="137" t="e">
        <f>IFERROR(VLOOKUP(C380,'04_RALLYE CAM'!$F$6:$U$70,15, FALSE), " ")*3</f>
        <v>#VALUE!</v>
      </c>
      <c r="Q380" s="142"/>
      <c r="R380" s="142"/>
      <c r="S380" s="137" t="e">
        <f>IFERROR(VLOOKUP(C380,'05_RS NAVALCARNERO'!$F$6:$U$70,15, FALSE), " ")*2</f>
        <v>#VALUE!</v>
      </c>
      <c r="T380" s="142"/>
      <c r="U380" s="142"/>
      <c r="V380" s="137" t="str">
        <f>IFERROR(VLOOKUP(C380,'06_TCT NUEVO BAZTÁN'!$F$6:$U$70,15, FALSE), " ")</f>
        <v xml:space="preserve"> </v>
      </c>
      <c r="W380" s="142"/>
      <c r="X380" s="420" t="e">
        <f t="shared" si="310"/>
        <v>#VALUE!</v>
      </c>
      <c r="Y380" s="140" t="str">
        <f t="shared" si="309"/>
        <v>Sí</v>
      </c>
      <c r="Z380" s="141">
        <f t="shared" si="311"/>
        <v>6</v>
      </c>
    </row>
    <row r="381" spans="2:26" ht="12.75" customHeight="1" x14ac:dyDescent="0.3">
      <c r="B381" s="133">
        <v>8</v>
      </c>
      <c r="C381" s="516" t="s">
        <v>688</v>
      </c>
      <c r="D381" s="517"/>
      <c r="E381" s="518"/>
      <c r="F381" s="142"/>
      <c r="G381" s="137" t="e">
        <f>IFERROR(VLOOKUP(C381,'01_RS ALCARRIA'!$F$6:$U$70,15, FALSE), " ")*2</f>
        <v>#VALUE!</v>
      </c>
      <c r="H381" s="142"/>
      <c r="I381" s="142"/>
      <c r="J381" s="137">
        <f>IFERROR(VLOOKUP(C381,'02_TCT GUADAMUR'!$F$6:$U$70,15, FALSE), " ")</f>
        <v>8</v>
      </c>
      <c r="K381" s="142"/>
      <c r="L381" s="142"/>
      <c r="M381" s="137">
        <f>IFERROR(VLOOKUP(C381,'03_TCT MAQUEDA'!$F$6:$U$70,15, FALSE), " ")</f>
        <v>8</v>
      </c>
      <c r="N381" s="142"/>
      <c r="O381" s="142"/>
      <c r="P381" s="137" t="e">
        <f>IFERROR(VLOOKUP(C381,'04_RALLYE CAM'!$F$6:$U$70,15, FALSE), " ")*3</f>
        <v>#VALUE!</v>
      </c>
      <c r="Q381" s="142"/>
      <c r="R381" s="142"/>
      <c r="S381" s="137" t="e">
        <f>IFERROR(VLOOKUP(C381,'05_RS NAVALCARNERO'!$F$6:$U$70,15, FALSE), " ")*2</f>
        <v>#VALUE!</v>
      </c>
      <c r="T381" s="142"/>
      <c r="U381" s="142"/>
      <c r="V381" s="137" t="str">
        <f>IFERROR(VLOOKUP(C381,'06_TCT NUEVO BAZTÁN'!$F$6:$U$70,15, FALSE), " ")</f>
        <v xml:space="preserve"> </v>
      </c>
      <c r="W381" s="142"/>
      <c r="X381" s="420" t="e">
        <f t="shared" si="310"/>
        <v>#VALUE!</v>
      </c>
      <c r="Y381" s="140" t="str">
        <f t="shared" si="309"/>
        <v>Sí</v>
      </c>
      <c r="Z381" s="141">
        <f t="shared" si="311"/>
        <v>6</v>
      </c>
    </row>
    <row r="382" spans="2:26" ht="12.75" customHeight="1" x14ac:dyDescent="0.3">
      <c r="B382" s="133">
        <v>9</v>
      </c>
      <c r="C382" s="516" t="s">
        <v>690</v>
      </c>
      <c r="D382" s="517"/>
      <c r="E382" s="518"/>
      <c r="F382" s="142"/>
      <c r="G382" s="137" t="e">
        <f>IFERROR(VLOOKUP(C382,'01_RS ALCARRIA'!$F$6:$U$70,15, FALSE), " ")*2</f>
        <v>#VALUE!</v>
      </c>
      <c r="H382" s="142"/>
      <c r="I382" s="142"/>
      <c r="J382" s="137">
        <f>IFERROR(VLOOKUP(C382,'02_TCT GUADAMUR'!$F$6:$U$70,15, FALSE), " ")</f>
        <v>6</v>
      </c>
      <c r="K382" s="142"/>
      <c r="L382" s="142"/>
      <c r="M382" s="137" t="str">
        <f>IFERROR(VLOOKUP(C382,'03_TCT MAQUEDA'!$F$6:$U$70,15, FALSE), " ")</f>
        <v xml:space="preserve"> </v>
      </c>
      <c r="N382" s="142"/>
      <c r="O382" s="142"/>
      <c r="P382" s="137" t="e">
        <f>IFERROR(VLOOKUP(C382,'04_RALLYE CAM'!$F$6:$U$70,15, FALSE), " ")*3</f>
        <v>#VALUE!</v>
      </c>
      <c r="Q382" s="142"/>
      <c r="R382" s="142"/>
      <c r="S382" s="137" t="e">
        <f>IFERROR(VLOOKUP(C382,'05_RS NAVALCARNERO'!$F$6:$U$70,15, FALSE), " ")*2</f>
        <v>#VALUE!</v>
      </c>
      <c r="T382" s="142"/>
      <c r="U382" s="142"/>
      <c r="V382" s="137" t="str">
        <f>IFERROR(VLOOKUP(C382,'06_TCT NUEVO BAZTÁN'!$F$6:$U$70,15, FALSE), " ")</f>
        <v xml:space="preserve"> </v>
      </c>
      <c r="W382" s="142"/>
      <c r="X382" s="420" t="e">
        <f t="shared" si="310"/>
        <v>#VALUE!</v>
      </c>
      <c r="Y382" s="140" t="str">
        <f t="shared" si="309"/>
        <v>Sí</v>
      </c>
      <c r="Z382" s="141">
        <f t="shared" si="311"/>
        <v>6</v>
      </c>
    </row>
    <row r="383" spans="2:26" ht="12.75" customHeight="1" x14ac:dyDescent="0.3">
      <c r="B383" s="133"/>
      <c r="C383" s="516" t="s">
        <v>293</v>
      </c>
      <c r="D383" s="517"/>
      <c r="E383" s="518"/>
      <c r="F383" s="142"/>
      <c r="G383" s="137" t="e">
        <f>IFERROR(VLOOKUP(C383,'01_RS ALCARRIA'!$F$6:$U$70,15, FALSE), " ")*2</f>
        <v>#VALUE!</v>
      </c>
      <c r="H383" s="142"/>
      <c r="I383" s="142"/>
      <c r="J383" s="137" t="str">
        <f>IFERROR(VLOOKUP(C383,'02_TCT GUADAMUR'!$F$6:$U$70,15, FALSE), " ")</f>
        <v xml:space="preserve"> </v>
      </c>
      <c r="K383" s="142"/>
      <c r="L383" s="142"/>
      <c r="M383" s="137">
        <f>IFERROR(VLOOKUP(C383,'03_TCT MAQUEDA'!$F$6:$U$70,15, FALSE), " ")</f>
        <v>8</v>
      </c>
      <c r="N383" s="142"/>
      <c r="O383" s="142"/>
      <c r="P383" s="137" t="e">
        <f>IFERROR(VLOOKUP(C383,'04_RALLYE CAM'!$F$6:$U$70,15, FALSE), " ")*3</f>
        <v>#VALUE!</v>
      </c>
      <c r="Q383" s="142"/>
      <c r="R383" s="142"/>
      <c r="S383" s="137" t="e">
        <f>IFERROR(VLOOKUP(C383,'05_RS NAVALCARNERO'!$F$6:$U$70,15, FALSE), " ")*2</f>
        <v>#VALUE!</v>
      </c>
      <c r="T383" s="142"/>
      <c r="U383" s="142"/>
      <c r="V383" s="137" t="str">
        <f>IFERROR(VLOOKUP(C383,'06_TCT NUEVO BAZTÁN'!$F$6:$U$70,15, FALSE), " ")</f>
        <v xml:space="preserve"> </v>
      </c>
      <c r="W383" s="142"/>
      <c r="X383" s="420" t="e">
        <f t="shared" si="310"/>
        <v>#VALUE!</v>
      </c>
      <c r="Y383" s="140" t="str">
        <f t="shared" si="309"/>
        <v>Sí</v>
      </c>
      <c r="Z383" s="141">
        <f t="shared" si="311"/>
        <v>6</v>
      </c>
    </row>
    <row r="384" spans="2:26" ht="12.75" customHeight="1" x14ac:dyDescent="0.3">
      <c r="B384" s="133"/>
      <c r="C384" s="516" t="s">
        <v>276</v>
      </c>
      <c r="D384" s="517"/>
      <c r="E384" s="518"/>
      <c r="F384" s="142"/>
      <c r="G384" s="137" t="e">
        <f>IFERROR(VLOOKUP(C384,'01_RS ALCARRIA'!$F$6:$U$70,15, FALSE), " ")*2</f>
        <v>#VALUE!</v>
      </c>
      <c r="H384" s="142"/>
      <c r="I384" s="142"/>
      <c r="J384" s="137" t="str">
        <f>IFERROR(VLOOKUP(C384,'02_TCT GUADAMUR'!$F$6:$U$70,15, FALSE), " ")</f>
        <v xml:space="preserve"> </v>
      </c>
      <c r="K384" s="142"/>
      <c r="L384" s="142"/>
      <c r="M384" s="137">
        <v>0</v>
      </c>
      <c r="N384" s="142"/>
      <c r="O384" s="142"/>
      <c r="P384" s="137" t="e">
        <f>IFERROR(VLOOKUP(C384,'04_RALLYE CAM'!$F$6:$U$70,15, FALSE), " ")*3</f>
        <v>#VALUE!</v>
      </c>
      <c r="Q384" s="142"/>
      <c r="R384" s="142"/>
      <c r="S384" s="137">
        <f>IFERROR(VLOOKUP(C384,'05_RS NAVALCARNERO'!$F$6:$U$70,15, FALSE), " ")*2</f>
        <v>12</v>
      </c>
      <c r="T384" s="142"/>
      <c r="U384" s="142"/>
      <c r="V384" s="137">
        <f>IFERROR(VLOOKUP(C384,'06_TCT NUEVO BAZTÁN'!$F$6:$U$70,15, FALSE), " ")</f>
        <v>6</v>
      </c>
      <c r="W384" s="142"/>
      <c r="X384" s="420" t="e">
        <f t="shared" ref="X384" si="312">G384+J384+M384+P384+S384+V384</f>
        <v>#VALUE!</v>
      </c>
      <c r="Y384" s="140" t="str">
        <f t="shared" ref="Y384" si="313">IF(Z384&gt;=3,"Sí","No")</f>
        <v>Sí</v>
      </c>
      <c r="Z384" s="141">
        <f t="shared" ref="Z384" si="314">COUNTA(G384,J384,M384,P384,S384,V384)</f>
        <v>6</v>
      </c>
    </row>
    <row r="385" spans="2:27" ht="12.75" customHeight="1" x14ac:dyDescent="0.3">
      <c r="B385" s="152"/>
      <c r="C385" s="155"/>
      <c r="D385" s="155"/>
      <c r="E385" s="155"/>
      <c r="F385" s="155"/>
      <c r="G385" s="514"/>
      <c r="H385" s="155"/>
      <c r="I385" s="155"/>
      <c r="J385" s="514"/>
      <c r="K385" s="155"/>
      <c r="L385" s="155"/>
      <c r="M385" s="514"/>
      <c r="N385" s="155"/>
      <c r="O385" s="155"/>
      <c r="P385" s="514"/>
      <c r="Q385" s="155"/>
      <c r="R385" s="155"/>
      <c r="S385" s="514"/>
      <c r="T385" s="155"/>
      <c r="U385" s="155"/>
      <c r="V385" s="514"/>
      <c r="W385" s="155"/>
      <c r="X385" s="506"/>
      <c r="Y385" s="240"/>
      <c r="Z385" s="127"/>
    </row>
    <row r="386" spans="2:27" x14ac:dyDescent="0.3"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2:27" ht="12" x14ac:dyDescent="0.3">
      <c r="B387" s="4"/>
      <c r="C387" s="4"/>
      <c r="D387" s="284"/>
      <c r="E387" s="285" t="s">
        <v>551</v>
      </c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2:27" x14ac:dyDescent="0.3"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2:27" ht="39" customHeight="1" x14ac:dyDescent="0.55000000000000004">
      <c r="B389" s="527" t="s">
        <v>516</v>
      </c>
      <c r="C389" s="527"/>
      <c r="D389" s="527"/>
      <c r="E389" s="527"/>
      <c r="F389" s="527"/>
      <c r="G389" s="527"/>
      <c r="H389" s="527"/>
      <c r="I389" s="527"/>
      <c r="J389" s="527"/>
      <c r="K389" s="527"/>
      <c r="L389" s="527"/>
      <c r="M389" s="527"/>
      <c r="N389" s="527"/>
      <c r="O389" s="527"/>
      <c r="P389" s="527"/>
      <c r="Q389" s="527"/>
      <c r="R389" s="527"/>
      <c r="S389" s="527"/>
      <c r="T389" s="527"/>
      <c r="U389" s="527"/>
      <c r="V389" s="527"/>
      <c r="W389" s="4"/>
      <c r="X389" s="4"/>
      <c r="AA389" s="130" t="s">
        <v>563</v>
      </c>
    </row>
    <row r="390" spans="2:27" ht="37.5" customHeight="1" x14ac:dyDescent="0.3">
      <c r="B390" s="523" t="s">
        <v>352</v>
      </c>
      <c r="C390" s="523"/>
      <c r="D390" s="523"/>
      <c r="E390" s="523"/>
      <c r="F390" s="523"/>
      <c r="G390" s="523"/>
      <c r="H390" s="523"/>
      <c r="I390" s="523"/>
      <c r="J390" s="523"/>
      <c r="K390" s="523"/>
      <c r="L390" s="523"/>
      <c r="M390" s="523"/>
      <c r="N390" s="523"/>
      <c r="O390" s="523"/>
      <c r="P390" s="523"/>
      <c r="Q390" s="523"/>
      <c r="R390" s="523"/>
      <c r="S390" s="523"/>
      <c r="T390" s="523"/>
      <c r="U390" s="523"/>
      <c r="V390" s="523"/>
      <c r="W390" s="4"/>
      <c r="X390" s="4"/>
      <c r="Y390" s="30"/>
      <c r="Z390" s="30"/>
    </row>
    <row r="391" spans="2:27" ht="12.75" customHeight="1" x14ac:dyDescent="0.3">
      <c r="B391" s="430"/>
      <c r="C391" s="416"/>
      <c r="D391" s="422"/>
      <c r="E391" s="224"/>
      <c r="F391" s="424"/>
      <c r="G391" s="422"/>
      <c r="H391" s="226"/>
      <c r="I391" s="426"/>
      <c r="J391" s="422"/>
      <c r="K391" s="226"/>
      <c r="L391" s="426"/>
      <c r="M391" s="422"/>
      <c r="N391" s="226"/>
      <c r="O391" s="426"/>
      <c r="P391" s="422"/>
      <c r="Q391" s="226"/>
      <c r="R391" s="426"/>
      <c r="S391" s="428" t="s">
        <v>213</v>
      </c>
      <c r="T391" s="422"/>
      <c r="U391" s="426"/>
      <c r="V391" s="428" t="s">
        <v>213</v>
      </c>
      <c r="W391" s="413"/>
      <c r="X391" s="431" t="s">
        <v>213</v>
      </c>
      <c r="Y391" s="30"/>
      <c r="Z391" s="30"/>
    </row>
    <row r="392" spans="2:27" ht="12.75" customHeight="1" x14ac:dyDescent="0.3">
      <c r="B392" s="159" t="s">
        <v>0</v>
      </c>
      <c r="C392" s="524" t="s">
        <v>353</v>
      </c>
      <c r="D392" s="525"/>
      <c r="E392" s="526"/>
      <c r="F392" s="421" t="s">
        <v>531</v>
      </c>
      <c r="G392" s="421"/>
      <c r="H392" s="260"/>
      <c r="I392" s="258" t="s">
        <v>524</v>
      </c>
      <c r="J392" s="421"/>
      <c r="K392" s="260"/>
      <c r="L392" s="258" t="s">
        <v>532</v>
      </c>
      <c r="M392" s="421"/>
      <c r="N392" s="260"/>
      <c r="O392" s="258" t="s">
        <v>526</v>
      </c>
      <c r="P392" s="421"/>
      <c r="Q392" s="260"/>
      <c r="R392" s="258" t="s">
        <v>287</v>
      </c>
      <c r="S392" s="421"/>
      <c r="T392" s="259"/>
      <c r="U392" s="258" t="s">
        <v>527</v>
      </c>
      <c r="V392" s="421"/>
      <c r="W392" s="260"/>
      <c r="X392" s="432" t="s">
        <v>9</v>
      </c>
      <c r="Y392" s="519" t="s">
        <v>223</v>
      </c>
      <c r="Z392" s="521" t="s">
        <v>4</v>
      </c>
    </row>
    <row r="393" spans="2:27" ht="12.75" customHeight="1" x14ac:dyDescent="0.3">
      <c r="B393" s="163"/>
      <c r="C393" s="417"/>
      <c r="D393" s="423"/>
      <c r="E393" s="219"/>
      <c r="F393" s="452"/>
      <c r="G393" s="453"/>
      <c r="H393" s="255"/>
      <c r="I393" s="454"/>
      <c r="J393" s="453"/>
      <c r="K393" s="255"/>
      <c r="L393" s="454"/>
      <c r="M393" s="453"/>
      <c r="N393" s="255"/>
      <c r="O393" s="454"/>
      <c r="P393" s="453"/>
      <c r="Q393" s="255"/>
      <c r="R393" s="454"/>
      <c r="S393" s="455"/>
      <c r="T393" s="453"/>
      <c r="U393" s="456"/>
      <c r="V393" s="457" t="s">
        <v>213</v>
      </c>
      <c r="W393" s="458"/>
      <c r="X393" s="459"/>
      <c r="Y393" s="520"/>
      <c r="Z393" s="522"/>
    </row>
    <row r="394" spans="2:27" ht="12.75" customHeight="1" x14ac:dyDescent="0.3">
      <c r="B394" s="133">
        <v>1</v>
      </c>
      <c r="C394" s="516" t="s">
        <v>567</v>
      </c>
      <c r="D394" s="517"/>
      <c r="E394" s="517"/>
      <c r="F394" s="142"/>
      <c r="G394" s="135">
        <f>IFERROR(VLOOKUP(C394,'01_RS ALCARRIA'!$Z$6:$AA$30,2, FALSE), " ")*2</f>
        <v>54</v>
      </c>
      <c r="H394" s="142"/>
      <c r="I394" s="142" t="s">
        <v>213</v>
      </c>
      <c r="J394" s="135">
        <f>IFERROR(VLOOKUP(C394,'02_TCT GUADAMUR'!$Z$6:$AA$30,2, FALSE), " ")</f>
        <v>5</v>
      </c>
      <c r="K394" s="142" t="s">
        <v>213</v>
      </c>
      <c r="L394" s="142"/>
      <c r="M394" s="135" t="str">
        <f>IFERROR(VLOOKUP(C394,'03_TCT MAQUEDA'!$Z$6:$AA$30,2, FALSE), " ")</f>
        <v xml:space="preserve"> </v>
      </c>
      <c r="N394" s="142"/>
      <c r="O394" s="142"/>
      <c r="P394" s="135" t="e">
        <f>IFERROR(VLOOKUP(C394,'04_RALLYE CAM'!$Z$6:$AA$30,2, FALSE), " ")*3</f>
        <v>#VALUE!</v>
      </c>
      <c r="Q394" s="142"/>
      <c r="R394" s="142"/>
      <c r="S394" s="135" t="e">
        <f>IFERROR(VLOOKUP(C394,'05_RS NAVALCARNERO'!$Z$6:$AA$30,2, FALSE), " ")*2</f>
        <v>#VALUE!</v>
      </c>
      <c r="T394" s="142"/>
      <c r="U394" s="142"/>
      <c r="V394" s="135" t="str">
        <f>IFERROR(VLOOKUP(C394,'06_TCT NUEVO BAZTÁN'!$Z$6:$AA$30,2, FALSE), " ")</f>
        <v xml:space="preserve"> </v>
      </c>
      <c r="W394" s="142"/>
      <c r="X394" s="460" t="e">
        <f>SUM(G394,J394,M394,P394,S394,V394)</f>
        <v>#VALUE!</v>
      </c>
      <c r="Y394" s="140" t="str">
        <f t="shared" ref="Y394:Y404" si="315">IF(Z394&gt;=3,"Sí","No")</f>
        <v>Sí</v>
      </c>
      <c r="Z394" s="141">
        <f>COUNTA(G394,J394,M394,P394,S394,V394)</f>
        <v>6</v>
      </c>
    </row>
    <row r="395" spans="2:27" ht="13" x14ac:dyDescent="0.3">
      <c r="B395" s="133">
        <v>2</v>
      </c>
      <c r="C395" s="516" t="s">
        <v>169</v>
      </c>
      <c r="D395" s="517"/>
      <c r="E395" s="517"/>
      <c r="F395" s="142"/>
      <c r="G395" s="135">
        <f>IFERROR(VLOOKUP(C395,'01_RS ALCARRIA'!$Z$6:$AA$30,2, FALSE), " ")*2</f>
        <v>104</v>
      </c>
      <c r="H395" s="142"/>
      <c r="I395" s="142" t="s">
        <v>213</v>
      </c>
      <c r="J395" s="135">
        <f>IFERROR(VLOOKUP(C395,'02_TCT GUADAMUR'!$Z$6:$AA$30,2, FALSE), " ")</f>
        <v>52</v>
      </c>
      <c r="K395" s="142" t="s">
        <v>213</v>
      </c>
      <c r="L395" s="142"/>
      <c r="M395" s="135">
        <f>IFERROR(VLOOKUP(C395,'03_TCT MAQUEDA'!$Z$6:$AA$30,2, FALSE), " ")</f>
        <v>32</v>
      </c>
      <c r="N395" s="142"/>
      <c r="O395" s="142"/>
      <c r="P395" s="135" t="e">
        <f>IFERROR(VLOOKUP(C395,'04_RALLYE CAM'!$Z$6:$AA$30,2, FALSE), " ")*3</f>
        <v>#VALUE!</v>
      </c>
      <c r="Q395" s="142"/>
      <c r="R395" s="142"/>
      <c r="S395" s="135" t="e">
        <f>IFERROR(VLOOKUP(C395,'05_RS NAVALCARNERO'!$Z$6:$AA$30,2, FALSE), " ")*2</f>
        <v>#VALUE!</v>
      </c>
      <c r="T395" s="142"/>
      <c r="U395" s="142"/>
      <c r="V395" s="135" t="str">
        <f>IFERROR(VLOOKUP(C395,'06_TCT NUEVO BAZTÁN'!$Z$6:$AA$30,2, FALSE), " ")</f>
        <v xml:space="preserve"> </v>
      </c>
      <c r="W395" s="142"/>
      <c r="X395" s="460" t="e">
        <f t="shared" ref="X395:X404" si="316">SUM(G395,J395,M395,P395,S395,V395)</f>
        <v>#VALUE!</v>
      </c>
      <c r="Y395" s="140" t="str">
        <f t="shared" si="315"/>
        <v>Sí</v>
      </c>
      <c r="Z395" s="141">
        <f t="shared" ref="Z395:Z404" si="317">COUNTA(G395,J395,M395,P395,S395,V395)</f>
        <v>6</v>
      </c>
    </row>
    <row r="396" spans="2:27" ht="12.75" customHeight="1" x14ac:dyDescent="0.3">
      <c r="B396" s="133">
        <v>3</v>
      </c>
      <c r="C396" s="516" t="s">
        <v>588</v>
      </c>
      <c r="D396" s="517"/>
      <c r="E396" s="517"/>
      <c r="F396" s="142"/>
      <c r="G396" s="135">
        <f>IFERROR(VLOOKUP(C396,'01_RS ALCARRIA'!$Z$6:$AA$30,2, FALSE), " ")*2</f>
        <v>26</v>
      </c>
      <c r="H396" s="142"/>
      <c r="I396" s="142" t="s">
        <v>213</v>
      </c>
      <c r="J396" s="135">
        <f>IFERROR(VLOOKUP(C396,'02_TCT GUADAMUR'!$Z$6:$AA$30,2, FALSE), " ")</f>
        <v>38</v>
      </c>
      <c r="K396" s="142" t="s">
        <v>213</v>
      </c>
      <c r="L396" s="142"/>
      <c r="M396" s="135">
        <f>IFERROR(VLOOKUP(C396,'03_TCT MAQUEDA'!$Z$6:$AA$30,2, FALSE), " ")</f>
        <v>28</v>
      </c>
      <c r="N396" s="142"/>
      <c r="O396" s="142"/>
      <c r="P396" s="135" t="e">
        <f>IFERROR(VLOOKUP(C396,'04_RALLYE CAM'!$Z$6:$AA$30,2, FALSE), " ")*3</f>
        <v>#VALUE!</v>
      </c>
      <c r="Q396" s="142"/>
      <c r="R396" s="142"/>
      <c r="S396" s="135" t="e">
        <f>IFERROR(VLOOKUP(C396,'05_RS NAVALCARNERO'!$Z$6:$AA$30,2, FALSE), " ")*2</f>
        <v>#VALUE!</v>
      </c>
      <c r="T396" s="142"/>
      <c r="U396" s="142"/>
      <c r="V396" s="135" t="str">
        <f>IFERROR(VLOOKUP(C396,'06_TCT NUEVO BAZTÁN'!$Z$6:$AA$30,2, FALSE), " ")</f>
        <v xml:space="preserve"> </v>
      </c>
      <c r="W396" s="142"/>
      <c r="X396" s="460" t="e">
        <f t="shared" si="316"/>
        <v>#VALUE!</v>
      </c>
      <c r="Y396" s="140" t="str">
        <f t="shared" si="315"/>
        <v>Sí</v>
      </c>
      <c r="Z396" s="141">
        <f t="shared" si="317"/>
        <v>6</v>
      </c>
    </row>
    <row r="397" spans="2:27" ht="12.75" customHeight="1" x14ac:dyDescent="0.3">
      <c r="B397" s="133">
        <v>4</v>
      </c>
      <c r="C397" s="516" t="s">
        <v>172</v>
      </c>
      <c r="D397" s="517"/>
      <c r="E397" s="517"/>
      <c r="F397" s="142"/>
      <c r="G397" s="135">
        <f>IFERROR(VLOOKUP(C397,'01_RS ALCARRIA'!$Z$6:$AA$30,2, FALSE), " ")*2</f>
        <v>32</v>
      </c>
      <c r="H397" s="142"/>
      <c r="I397" s="142" t="s">
        <v>213</v>
      </c>
      <c r="J397" s="135">
        <f>IFERROR(VLOOKUP(C397,'02_TCT GUADAMUR'!$Z$6:$AA$30,2, FALSE), " ")</f>
        <v>26</v>
      </c>
      <c r="K397" s="142" t="s">
        <v>213</v>
      </c>
      <c r="L397" s="142"/>
      <c r="M397" s="135">
        <f>IFERROR(VLOOKUP(C397,'03_TCT MAQUEDA'!$Z$6:$AA$30,2, FALSE), " ")</f>
        <v>10</v>
      </c>
      <c r="N397" s="142"/>
      <c r="O397" s="142"/>
      <c r="P397" s="135">
        <f>IFERROR(VLOOKUP(C397,'04_RALLYE CAM'!$Z$6:$AA$30,2, FALSE), " ")*3</f>
        <v>30</v>
      </c>
      <c r="Q397" s="142"/>
      <c r="R397" s="142"/>
      <c r="S397" s="135">
        <f>IFERROR(VLOOKUP(C397,'05_RS NAVALCARNERO'!$Z$6:$AA$30,2, FALSE), " ")*2</f>
        <v>22</v>
      </c>
      <c r="T397" s="142"/>
      <c r="U397" s="142"/>
      <c r="V397" s="135">
        <f>IFERROR(VLOOKUP(C397,'06_TCT NUEVO BAZTÁN'!$Z$6:$AA$30,2, FALSE), " ")</f>
        <v>11</v>
      </c>
      <c r="W397" s="142"/>
      <c r="X397" s="460">
        <f t="shared" si="316"/>
        <v>131</v>
      </c>
      <c r="Y397" s="140" t="str">
        <f t="shared" si="315"/>
        <v>Sí</v>
      </c>
      <c r="Z397" s="141">
        <f t="shared" si="317"/>
        <v>6</v>
      </c>
    </row>
    <row r="398" spans="2:27" ht="12.75" customHeight="1" x14ac:dyDescent="0.3">
      <c r="B398" s="133">
        <v>5</v>
      </c>
      <c r="C398" s="516" t="s">
        <v>171</v>
      </c>
      <c r="D398" s="517"/>
      <c r="E398" s="517"/>
      <c r="F398" s="142"/>
      <c r="G398" s="135">
        <f>IFERROR(VLOOKUP(C398,'01_RS ALCARRIA'!$Z$6:$AA$30,2, FALSE), " ")*2</f>
        <v>16</v>
      </c>
      <c r="H398" s="142"/>
      <c r="I398" s="142" t="s">
        <v>213</v>
      </c>
      <c r="J398" s="135" t="str">
        <f>IFERROR(VLOOKUP(C398,'02_TCT GUADAMUR'!$Z$6:$AA$30,2, FALSE), " ")</f>
        <v xml:space="preserve"> </v>
      </c>
      <c r="K398" s="142" t="s">
        <v>213</v>
      </c>
      <c r="L398" s="142"/>
      <c r="M398" s="135">
        <f>IFERROR(VLOOKUP(C398,'03_TCT MAQUEDA'!$Z$6:$AA$30,2, FALSE), " ")</f>
        <v>45</v>
      </c>
      <c r="N398" s="142"/>
      <c r="O398" s="142"/>
      <c r="P398" s="135">
        <f>IFERROR(VLOOKUP(C398,'04_RALLYE CAM'!$Z$6:$AA$30,2, FALSE), " ")*3</f>
        <v>42</v>
      </c>
      <c r="Q398" s="142"/>
      <c r="R398" s="142"/>
      <c r="S398" s="135">
        <f>IFERROR(VLOOKUP(C398,'05_RS NAVALCARNERO'!$Z$6:$AA$30,2, FALSE), " ")*2</f>
        <v>8</v>
      </c>
      <c r="T398" s="142"/>
      <c r="U398" s="142"/>
      <c r="V398" s="135">
        <f>IFERROR(VLOOKUP(C398,'06_TCT NUEVO BAZTÁN'!$Z$6:$AA$30,2, FALSE), " ")</f>
        <v>4</v>
      </c>
      <c r="W398" s="142"/>
      <c r="X398" s="460">
        <f t="shared" si="316"/>
        <v>115</v>
      </c>
      <c r="Y398" s="140" t="str">
        <f t="shared" si="315"/>
        <v>Sí</v>
      </c>
      <c r="Z398" s="141">
        <f t="shared" si="317"/>
        <v>6</v>
      </c>
    </row>
    <row r="399" spans="2:27" ht="12.75" customHeight="1" x14ac:dyDescent="0.3">
      <c r="B399" s="133">
        <v>6</v>
      </c>
      <c r="C399" s="516" t="s">
        <v>330</v>
      </c>
      <c r="D399" s="517"/>
      <c r="E399" s="517"/>
      <c r="F399" s="142"/>
      <c r="G399" s="135">
        <f>IFERROR(VLOOKUP(C399,'01_RS ALCARRIA'!$Z$6:$AA$30,2, FALSE), " ")*2</f>
        <v>8</v>
      </c>
      <c r="H399" s="142"/>
      <c r="I399" s="142" t="s">
        <v>213</v>
      </c>
      <c r="J399" s="135">
        <f>IFERROR(VLOOKUP(C399,'02_TCT GUADAMUR'!$Z$6:$AA$30,2, FALSE), " ")</f>
        <v>4</v>
      </c>
      <c r="K399" s="142" t="s">
        <v>213</v>
      </c>
      <c r="L399" s="142"/>
      <c r="M399" s="135">
        <f>IFERROR(VLOOKUP(C399,'03_TCT MAQUEDA'!$Z$6:$AA$30,2, FALSE), " ")</f>
        <v>5</v>
      </c>
      <c r="N399" s="142"/>
      <c r="O399" s="142"/>
      <c r="P399" s="135" t="e">
        <f>IFERROR(VLOOKUP(C399,'04_RALLYE CAM'!$Z$6:$AA$30,2, FALSE), " ")*3</f>
        <v>#VALUE!</v>
      </c>
      <c r="Q399" s="142"/>
      <c r="R399" s="142"/>
      <c r="S399" s="135">
        <f>IFERROR(VLOOKUP(C399,'05_RS NAVALCARNERO'!$Z$6:$AA$30,2, FALSE), " ")*2</f>
        <v>4</v>
      </c>
      <c r="T399" s="142"/>
      <c r="U399" s="142"/>
      <c r="V399" s="135">
        <f>IFERROR(VLOOKUP(C399,'06_TCT NUEVO BAZTÁN'!$Z$6:$AA$30,2, FALSE), " ")</f>
        <v>2</v>
      </c>
      <c r="W399" s="142"/>
      <c r="X399" s="460" t="e">
        <f t="shared" si="316"/>
        <v>#VALUE!</v>
      </c>
      <c r="Y399" s="140" t="str">
        <f t="shared" si="315"/>
        <v>Sí</v>
      </c>
      <c r="Z399" s="141">
        <f t="shared" si="317"/>
        <v>6</v>
      </c>
    </row>
    <row r="400" spans="2:27" ht="12.75" customHeight="1" x14ac:dyDescent="0.3">
      <c r="B400" s="133">
        <v>7</v>
      </c>
      <c r="C400" s="516" t="s">
        <v>609</v>
      </c>
      <c r="D400" s="517"/>
      <c r="E400" s="517"/>
      <c r="F400" s="142"/>
      <c r="G400" s="135">
        <f>IFERROR(VLOOKUP(C400,'01_RS ALCARRIA'!$Z$6:$AA$30,2, FALSE), " ")*2</f>
        <v>0</v>
      </c>
      <c r="H400" s="142"/>
      <c r="I400" s="142" t="s">
        <v>213</v>
      </c>
      <c r="J400" s="135">
        <f>IFERROR(VLOOKUP(C400,'02_TCT GUADAMUR'!$Z$6:$AA$30,2, FALSE), " ")</f>
        <v>2</v>
      </c>
      <c r="K400" s="142" t="s">
        <v>213</v>
      </c>
      <c r="L400" s="142"/>
      <c r="M400" s="135">
        <f>IFERROR(VLOOKUP(C400,'03_TCT MAQUEDA'!$Z$6:$AA$30,2, FALSE), " ")</f>
        <v>4</v>
      </c>
      <c r="N400" s="142"/>
      <c r="O400" s="142"/>
      <c r="P400" s="135" t="e">
        <f>IFERROR(VLOOKUP(C400,'04_RALLYE CAM'!$Z$6:$AA$30,2, FALSE), " ")*3</f>
        <v>#VALUE!</v>
      </c>
      <c r="Q400" s="142"/>
      <c r="R400" s="142"/>
      <c r="S400" s="135" t="e">
        <f>IFERROR(VLOOKUP(C400,'05_RS NAVALCARNERO'!$Z$6:$AA$30,2, FALSE), " ")*2</f>
        <v>#VALUE!</v>
      </c>
      <c r="T400" s="142"/>
      <c r="U400" s="142"/>
      <c r="V400" s="135" t="str">
        <f>IFERROR(VLOOKUP(C400,'06_TCT NUEVO BAZTÁN'!$Z$6:$AA$30,2, FALSE), " ")</f>
        <v xml:space="preserve"> </v>
      </c>
      <c r="W400" s="142"/>
      <c r="X400" s="460" t="e">
        <f t="shared" si="316"/>
        <v>#VALUE!</v>
      </c>
      <c r="Y400" s="140" t="str">
        <f t="shared" si="315"/>
        <v>Sí</v>
      </c>
      <c r="Z400" s="141">
        <f t="shared" si="317"/>
        <v>6</v>
      </c>
    </row>
    <row r="401" spans="2:26" ht="12.75" customHeight="1" x14ac:dyDescent="0.3">
      <c r="B401" s="133">
        <v>8</v>
      </c>
      <c r="C401" s="516" t="s">
        <v>634</v>
      </c>
      <c r="D401" s="517"/>
      <c r="E401" s="517"/>
      <c r="F401" s="142"/>
      <c r="G401" s="135">
        <f>IFERROR(VLOOKUP(C401,'01_RS ALCARRIA'!$Z$6:$AA$30,2, FALSE), " ")*2</f>
        <v>0</v>
      </c>
      <c r="H401" s="142"/>
      <c r="I401" s="142" t="s">
        <v>213</v>
      </c>
      <c r="J401" s="135" t="str">
        <f>IFERROR(VLOOKUP(C401,'02_TCT GUADAMUR'!$Z$6:$AA$30,2, FALSE), " ")</f>
        <v xml:space="preserve"> </v>
      </c>
      <c r="K401" s="142" t="s">
        <v>213</v>
      </c>
      <c r="L401" s="142"/>
      <c r="M401" s="135" t="str">
        <f>IFERROR(VLOOKUP(C401,'03_TCT MAQUEDA'!$Z$6:$AA$30,2, FALSE), " ")</f>
        <v xml:space="preserve"> </v>
      </c>
      <c r="N401" s="142"/>
      <c r="O401" s="142"/>
      <c r="P401" s="135" t="e">
        <f>IFERROR(VLOOKUP(C401,'04_RALLYE CAM'!$Z$6:$AA$30,2, FALSE), " ")*3</f>
        <v>#VALUE!</v>
      </c>
      <c r="Q401" s="142"/>
      <c r="R401" s="142"/>
      <c r="S401" s="135" t="e">
        <f>IFERROR(VLOOKUP(C401,'05_RS NAVALCARNERO'!$Z$6:$AA$30,2, FALSE), " ")*2</f>
        <v>#VALUE!</v>
      </c>
      <c r="T401" s="142"/>
      <c r="U401" s="142"/>
      <c r="V401" s="135" t="str">
        <f>IFERROR(VLOOKUP(C401,'06_TCT NUEVO BAZTÁN'!$Z$6:$AA$30,2, FALSE), " ")</f>
        <v xml:space="preserve"> </v>
      </c>
      <c r="W401" s="142"/>
      <c r="X401" s="460" t="e">
        <f t="shared" si="316"/>
        <v>#VALUE!</v>
      </c>
      <c r="Y401" s="140" t="str">
        <f t="shared" si="315"/>
        <v>Sí</v>
      </c>
      <c r="Z401" s="141">
        <f t="shared" si="317"/>
        <v>6</v>
      </c>
    </row>
    <row r="402" spans="2:26" ht="12.75" customHeight="1" x14ac:dyDescent="0.3">
      <c r="B402" s="133">
        <v>9</v>
      </c>
      <c r="C402" s="516" t="s">
        <v>444</v>
      </c>
      <c r="D402" s="517"/>
      <c r="E402" s="517"/>
      <c r="F402" s="142"/>
      <c r="G402" s="135">
        <f>IFERROR(VLOOKUP(C402,'01_RS ALCARRIA'!$Z$6:$AA$30,2, FALSE), " ")*2</f>
        <v>0</v>
      </c>
      <c r="H402" s="142"/>
      <c r="I402" s="142" t="s">
        <v>213</v>
      </c>
      <c r="J402" s="135" t="str">
        <f>IFERROR(VLOOKUP(C402,'02_TCT GUADAMUR'!$Z$6:$AA$30,2, FALSE), " ")</f>
        <v xml:space="preserve"> </v>
      </c>
      <c r="K402" s="142" t="s">
        <v>213</v>
      </c>
      <c r="L402" s="142"/>
      <c r="M402" s="135" t="str">
        <f>IFERROR(VLOOKUP(C402,'03_TCT MAQUEDA'!$Z$6:$AA$30,2, FALSE), " ")</f>
        <v xml:space="preserve"> </v>
      </c>
      <c r="N402" s="142"/>
      <c r="O402" s="142"/>
      <c r="P402" s="135" t="e">
        <f>IFERROR(VLOOKUP(C402,'04_RALLYE CAM'!$Z$6:$AA$30,2, FALSE), " ")*3</f>
        <v>#VALUE!</v>
      </c>
      <c r="Q402" s="142"/>
      <c r="R402" s="142"/>
      <c r="S402" s="135" t="e">
        <f>IFERROR(VLOOKUP(C402,'05_RS NAVALCARNERO'!$Z$6:$AA$30,2, FALSE), " ")*2</f>
        <v>#VALUE!</v>
      </c>
      <c r="T402" s="142"/>
      <c r="U402" s="142"/>
      <c r="V402" s="135" t="str">
        <f>IFERROR(VLOOKUP(C402,'06_TCT NUEVO BAZTÁN'!$Z$6:$AA$30,2, FALSE), " ")</f>
        <v xml:space="preserve"> </v>
      </c>
      <c r="W402" s="142"/>
      <c r="X402" s="460" t="e">
        <f t="shared" si="316"/>
        <v>#VALUE!</v>
      </c>
      <c r="Y402" s="140" t="str">
        <f t="shared" si="315"/>
        <v>Sí</v>
      </c>
      <c r="Z402" s="141">
        <f t="shared" si="317"/>
        <v>6</v>
      </c>
    </row>
    <row r="403" spans="2:26" ht="12.75" customHeight="1" x14ac:dyDescent="0.3">
      <c r="B403" s="133"/>
      <c r="C403" s="516" t="s">
        <v>304</v>
      </c>
      <c r="D403" s="517"/>
      <c r="E403" s="517"/>
      <c r="F403" s="142"/>
      <c r="G403" s="135" t="e">
        <f>IFERROR(VLOOKUP(C403,'01_RS ALCARRIA'!$Z$6:$AA$30,2, FALSE), " ")*2</f>
        <v>#VALUE!</v>
      </c>
      <c r="H403" s="142"/>
      <c r="I403" s="142" t="s">
        <v>213</v>
      </c>
      <c r="J403" s="135">
        <f>IFERROR(VLOOKUP(C403,'02_TCT GUADAMUR'!$Z$6:$AA$30,2, FALSE), " ")</f>
        <v>0</v>
      </c>
      <c r="K403" s="142" t="s">
        <v>213</v>
      </c>
      <c r="L403" s="142"/>
      <c r="M403" s="135">
        <f>IFERROR(VLOOKUP(C403,'03_TCT MAQUEDA'!$Z$6:$AA$30,2, FALSE), " ")</f>
        <v>0</v>
      </c>
      <c r="N403" s="142"/>
      <c r="O403" s="142"/>
      <c r="P403" s="135">
        <f>IFERROR(VLOOKUP(C403,'04_RALLYE CAM'!$Z$6:$AA$30,2, FALSE), " ")*3</f>
        <v>3</v>
      </c>
      <c r="Q403" s="142"/>
      <c r="R403" s="142"/>
      <c r="S403" s="135" t="e">
        <f>IFERROR(VLOOKUP(C403,'05_RS NAVALCARNERO'!$Z$6:$AA$30,2, FALSE), " ")*2</f>
        <v>#VALUE!</v>
      </c>
      <c r="T403" s="142"/>
      <c r="U403" s="142"/>
      <c r="V403" s="135" t="str">
        <f>IFERROR(VLOOKUP(C403,'06_TCT NUEVO BAZTÁN'!$Z$6:$AA$30,2, FALSE), " ")</f>
        <v xml:space="preserve"> </v>
      </c>
      <c r="W403" s="142"/>
      <c r="X403" s="460" t="e">
        <f t="shared" si="316"/>
        <v>#VALUE!</v>
      </c>
      <c r="Y403" s="140" t="str">
        <f t="shared" si="315"/>
        <v>Sí</v>
      </c>
      <c r="Z403" s="141">
        <f t="shared" si="317"/>
        <v>6</v>
      </c>
    </row>
    <row r="404" spans="2:26" ht="12.75" customHeight="1" x14ac:dyDescent="0.3">
      <c r="B404" s="133"/>
      <c r="C404" s="516"/>
      <c r="D404" s="517"/>
      <c r="E404" s="517"/>
      <c r="F404" s="142"/>
      <c r="G404" s="135" t="e">
        <f>IFERROR(VLOOKUP(C404,'01_RS ALCARRIA'!$Z$6:$AA$30,2, FALSE), " ")*2</f>
        <v>#VALUE!</v>
      </c>
      <c r="H404" s="142"/>
      <c r="I404" s="142" t="s">
        <v>213</v>
      </c>
      <c r="J404" s="135" t="str">
        <f>IFERROR(VLOOKUP(C404,'02_TCT GUADAMUR'!$Z$6:$AA$30,2, FALSE), " ")</f>
        <v xml:space="preserve"> </v>
      </c>
      <c r="K404" s="142" t="s">
        <v>213</v>
      </c>
      <c r="L404" s="142"/>
      <c r="M404" s="135" t="str">
        <f>IFERROR(VLOOKUP(C404,'03_TCT MAQUEDA'!$Z$6:$AA$30,2, FALSE), " ")</f>
        <v xml:space="preserve"> </v>
      </c>
      <c r="N404" s="142"/>
      <c r="O404" s="142"/>
      <c r="P404" s="135" t="e">
        <f>IFERROR(VLOOKUP(C404,'04_RALLYE CAM'!$Z$6:$AA$30,2, FALSE), " ")*3</f>
        <v>#VALUE!</v>
      </c>
      <c r="Q404" s="142"/>
      <c r="R404" s="142"/>
      <c r="S404" s="135" t="e">
        <f>IFERROR(VLOOKUP(C404,'05_RS NAVALCARNERO'!$Z$6:$AA$30,2, FALSE), " ")*2</f>
        <v>#VALUE!</v>
      </c>
      <c r="T404" s="142"/>
      <c r="U404" s="142"/>
      <c r="V404" s="135" t="str">
        <f>IFERROR(VLOOKUP(C404,'06_TCT NUEVO BAZTÁN'!$Z$6:$AA$30,2, FALSE), " ")</f>
        <v xml:space="preserve"> </v>
      </c>
      <c r="W404" s="142"/>
      <c r="X404" s="460" t="e">
        <f t="shared" si="316"/>
        <v>#VALUE!</v>
      </c>
      <c r="Y404" s="140" t="str">
        <f t="shared" si="315"/>
        <v>Sí</v>
      </c>
      <c r="Z404" s="141">
        <f t="shared" si="317"/>
        <v>6</v>
      </c>
    </row>
    <row r="405" spans="2:26" x14ac:dyDescent="0.3">
      <c r="T405" s="4"/>
      <c r="U405" s="4"/>
      <c r="V405" s="4"/>
      <c r="W405" s="4"/>
      <c r="X405" s="4"/>
    </row>
    <row r="406" spans="2:26" x14ac:dyDescent="0.3">
      <c r="T406" s="4"/>
      <c r="U406" s="4"/>
      <c r="V406" s="4"/>
      <c r="W406" s="4"/>
      <c r="X406" s="4"/>
    </row>
    <row r="409" spans="2:26" ht="39" customHeight="1" x14ac:dyDescent="0.55000000000000004">
      <c r="B409" s="527" t="s">
        <v>554</v>
      </c>
      <c r="C409" s="527"/>
      <c r="D409" s="527"/>
      <c r="E409" s="527"/>
      <c r="F409" s="527"/>
      <c r="G409" s="527"/>
      <c r="H409" s="527"/>
      <c r="I409" s="527"/>
      <c r="J409" s="527"/>
      <c r="K409" s="527"/>
      <c r="L409" s="527"/>
      <c r="M409" s="527"/>
      <c r="N409" s="527"/>
      <c r="O409" s="527"/>
      <c r="P409" s="527"/>
      <c r="Q409" s="527"/>
      <c r="R409" s="527"/>
      <c r="S409" s="527"/>
      <c r="T409" s="527"/>
      <c r="U409" s="527"/>
      <c r="V409" s="527"/>
      <c r="W409" s="4"/>
      <c r="X409" s="4"/>
      <c r="Y409" s="130" t="s">
        <v>660</v>
      </c>
    </row>
    <row r="410" spans="2:26" ht="37.5" customHeight="1" x14ac:dyDescent="0.3">
      <c r="B410" s="523" t="s">
        <v>224</v>
      </c>
      <c r="C410" s="523"/>
      <c r="D410" s="523"/>
      <c r="E410" s="523"/>
      <c r="F410" s="523"/>
      <c r="G410" s="523"/>
      <c r="H410" s="523"/>
      <c r="I410" s="523"/>
      <c r="J410" s="523"/>
      <c r="K410" s="523"/>
      <c r="L410" s="523"/>
      <c r="M410" s="523"/>
      <c r="N410" s="523"/>
      <c r="O410" s="523"/>
      <c r="P410" s="523"/>
      <c r="Q410" s="523"/>
      <c r="R410" s="523"/>
      <c r="S410" s="523"/>
      <c r="T410" s="523"/>
      <c r="U410" s="523"/>
      <c r="V410" s="523"/>
      <c r="W410" s="4"/>
      <c r="X410" s="4"/>
      <c r="Y410" s="30"/>
      <c r="Z410" s="30"/>
    </row>
    <row r="411" spans="2:26" ht="12.75" customHeight="1" x14ac:dyDescent="0.3">
      <c r="B411" s="430"/>
      <c r="C411" s="416"/>
      <c r="D411" s="422"/>
      <c r="E411" s="224"/>
      <c r="F411" s="424"/>
      <c r="G411" s="422"/>
      <c r="H411" s="226"/>
      <c r="I411" s="426"/>
      <c r="J411" s="422"/>
      <c r="K411" s="226"/>
      <c r="L411" s="426"/>
      <c r="M411" s="422"/>
      <c r="N411" s="226"/>
      <c r="O411" s="426"/>
      <c r="P411" s="422"/>
      <c r="Q411" s="226"/>
      <c r="R411" s="426"/>
      <c r="S411" s="428" t="s">
        <v>213</v>
      </c>
      <c r="T411" s="422"/>
      <c r="U411" s="426"/>
      <c r="V411" s="428" t="s">
        <v>213</v>
      </c>
      <c r="W411" s="413"/>
      <c r="X411" s="431" t="s">
        <v>213</v>
      </c>
      <c r="Y411" s="30"/>
      <c r="Z411" s="30"/>
    </row>
    <row r="412" spans="2:26" ht="12.75" customHeight="1" x14ac:dyDescent="0.3">
      <c r="B412" s="159" t="s">
        <v>0</v>
      </c>
      <c r="C412" s="524" t="s">
        <v>1</v>
      </c>
      <c r="D412" s="525"/>
      <c r="E412" s="526"/>
      <c r="F412" s="421" t="s">
        <v>531</v>
      </c>
      <c r="G412" s="421"/>
      <c r="H412" s="260"/>
      <c r="I412" s="258" t="s">
        <v>524</v>
      </c>
      <c r="J412" s="421"/>
      <c r="K412" s="260"/>
      <c r="L412" s="258" t="s">
        <v>532</v>
      </c>
      <c r="M412" s="421"/>
      <c r="N412" s="260"/>
      <c r="O412" s="258" t="s">
        <v>526</v>
      </c>
      <c r="P412" s="421"/>
      <c r="Q412" s="260"/>
      <c r="R412" s="258" t="s">
        <v>287</v>
      </c>
      <c r="S412" s="421"/>
      <c r="T412" s="259"/>
      <c r="U412" s="258" t="s">
        <v>527</v>
      </c>
      <c r="V412" s="421"/>
      <c r="W412" s="260"/>
      <c r="X412" s="432" t="s">
        <v>9</v>
      </c>
      <c r="Y412" s="519" t="s">
        <v>223</v>
      </c>
      <c r="Z412" s="521" t="s">
        <v>4</v>
      </c>
    </row>
    <row r="413" spans="2:26" ht="12.75" customHeight="1" x14ac:dyDescent="0.3">
      <c r="B413" s="163"/>
      <c r="C413" s="417"/>
      <c r="D413" s="423"/>
      <c r="E413" s="219"/>
      <c r="F413" s="425"/>
      <c r="G413" s="423"/>
      <c r="H413" s="221"/>
      <c r="I413" s="427"/>
      <c r="J413" s="423"/>
      <c r="K413" s="221"/>
      <c r="L413" s="427"/>
      <c r="M413" s="423"/>
      <c r="N413" s="221"/>
      <c r="O413" s="427"/>
      <c r="P413" s="423"/>
      <c r="Q413" s="221"/>
      <c r="R413" s="427"/>
      <c r="S413" s="429"/>
      <c r="T413" s="423"/>
      <c r="U413" s="433"/>
      <c r="V413" s="434" t="s">
        <v>213</v>
      </c>
      <c r="W413" s="435"/>
      <c r="X413" s="256"/>
      <c r="Y413" s="520"/>
      <c r="Z413" s="522"/>
    </row>
    <row r="414" spans="2:26" ht="12.75" customHeight="1" x14ac:dyDescent="0.3">
      <c r="B414" s="133">
        <v>1</v>
      </c>
      <c r="C414" s="237" t="s">
        <v>595</v>
      </c>
      <c r="D414" s="474"/>
      <c r="E414" s="238"/>
      <c r="F414" s="317"/>
      <c r="G414" s="418">
        <v>20</v>
      </c>
      <c r="H414" s="419"/>
      <c r="I414" s="317"/>
      <c r="J414" s="418">
        <v>16</v>
      </c>
      <c r="K414" s="419"/>
      <c r="L414" s="317"/>
      <c r="M414" s="418">
        <v>20</v>
      </c>
      <c r="N414" s="419"/>
      <c r="O414" s="317"/>
      <c r="P414" s="418"/>
      <c r="Q414" s="419"/>
      <c r="R414" s="419"/>
      <c r="S414" s="418"/>
      <c r="T414" s="419"/>
      <c r="U414" s="419"/>
      <c r="V414" s="418"/>
      <c r="W414" s="462"/>
      <c r="X414" s="420">
        <f>G414+J414+M414+P414+S414+V414</f>
        <v>56</v>
      </c>
      <c r="Y414" s="140" t="str">
        <f>IF(Z414&gt;=3,"Sí","No")</f>
        <v>Sí</v>
      </c>
      <c r="Z414" s="141">
        <f>COUNTA(G414,J414,M414,P414,S414,V414)</f>
        <v>3</v>
      </c>
    </row>
    <row r="415" spans="2:26" ht="12.75" customHeight="1" x14ac:dyDescent="0.3">
      <c r="B415" s="133">
        <v>2</v>
      </c>
      <c r="C415" s="237" t="s">
        <v>606</v>
      </c>
      <c r="D415" s="474"/>
      <c r="E415" s="238"/>
      <c r="F415" s="317"/>
      <c r="G415" s="418">
        <v>16</v>
      </c>
      <c r="H415" s="419"/>
      <c r="I415" s="317"/>
      <c r="J415" s="418">
        <v>14</v>
      </c>
      <c r="K415" s="419"/>
      <c r="L415" s="317"/>
      <c r="M415" s="418" t="s">
        <v>658</v>
      </c>
      <c r="N415" s="419"/>
      <c r="O415" s="317"/>
      <c r="P415" s="418"/>
      <c r="Q415" s="419"/>
      <c r="R415" s="419"/>
      <c r="S415" s="418"/>
      <c r="T415" s="419"/>
      <c r="U415" s="419"/>
      <c r="V415" s="418"/>
      <c r="W415" s="462"/>
      <c r="X415" s="420" t="e">
        <f>G415+J415+M415+P415+S415+V415</f>
        <v>#VALUE!</v>
      </c>
      <c r="Y415" s="140" t="str">
        <f>IF(Z415&gt;=3,"Sí","No")</f>
        <v>Sí</v>
      </c>
      <c r="Z415" s="141">
        <f>COUNTA(G415,J415,M415,P415,S415,V415)</f>
        <v>3</v>
      </c>
    </row>
    <row r="416" spans="2:26" ht="12.75" customHeight="1" x14ac:dyDescent="0.3">
      <c r="B416" s="133">
        <v>3</v>
      </c>
      <c r="C416" s="237" t="s">
        <v>607</v>
      </c>
      <c r="D416" s="474"/>
      <c r="E416" s="238"/>
      <c r="F416" s="317"/>
      <c r="G416" s="418">
        <v>14</v>
      </c>
      <c r="H416" s="419"/>
      <c r="I416" s="317"/>
      <c r="J416" s="418">
        <v>12</v>
      </c>
      <c r="K416" s="419"/>
      <c r="L416" s="317"/>
      <c r="M416" s="418">
        <v>14</v>
      </c>
      <c r="N416" s="419"/>
      <c r="O416" s="317"/>
      <c r="P416" s="418"/>
      <c r="Q416" s="419"/>
      <c r="R416" s="419"/>
      <c r="S416" s="418"/>
      <c r="T416" s="419"/>
      <c r="U416" s="419"/>
      <c r="V416" s="418"/>
      <c r="W416" s="462"/>
      <c r="X416" s="420">
        <f>G416+J416+M416+P416+S416+V416</f>
        <v>40</v>
      </c>
      <c r="Y416" s="140" t="str">
        <f>IF(Z416&gt;=3,"Sí","No")</f>
        <v>Sí</v>
      </c>
      <c r="Z416" s="141">
        <f>COUNTA(G416,J416,M416,P416,S416,V416)</f>
        <v>3</v>
      </c>
    </row>
    <row r="417" spans="2:26" ht="12.75" customHeight="1" x14ac:dyDescent="0.3">
      <c r="B417" s="133" t="s">
        <v>658</v>
      </c>
      <c r="C417" s="237" t="s">
        <v>632</v>
      </c>
      <c r="D417" s="474"/>
      <c r="E417" s="238"/>
      <c r="F417" s="317"/>
      <c r="G417" s="418">
        <v>0</v>
      </c>
      <c r="H417" s="419"/>
      <c r="I417" s="317"/>
      <c r="J417" s="418" t="s">
        <v>658</v>
      </c>
      <c r="K417" s="419"/>
      <c r="L417" s="317"/>
      <c r="M417" s="418">
        <v>16</v>
      </c>
      <c r="N417" s="419"/>
      <c r="O417" s="317"/>
      <c r="P417" s="418"/>
      <c r="Q417" s="419"/>
      <c r="R417" s="419"/>
      <c r="S417" s="418"/>
      <c r="T417" s="419"/>
      <c r="U417" s="419"/>
      <c r="V417" s="418"/>
      <c r="W417" s="462"/>
      <c r="X417" s="420" t="e">
        <f>G417+J417+M417+P417+S417+V417</f>
        <v>#VALUE!</v>
      </c>
      <c r="Y417" s="140" t="str">
        <f>IF(Z417&gt;=3,"Sí","No")</f>
        <v>Sí</v>
      </c>
      <c r="Z417" s="141">
        <f>COUNTA(G417,J417,M417,P417,S417,V417)</f>
        <v>3</v>
      </c>
    </row>
    <row r="418" spans="2:26" x14ac:dyDescent="0.3">
      <c r="T418" s="4"/>
      <c r="U418" s="4"/>
      <c r="V418" s="4"/>
      <c r="W418" s="4"/>
      <c r="X418" s="4"/>
    </row>
    <row r="420" spans="2:26" ht="39" customHeight="1" x14ac:dyDescent="0.55000000000000004">
      <c r="B420" s="527" t="s">
        <v>554</v>
      </c>
      <c r="C420" s="527"/>
      <c r="D420" s="527"/>
      <c r="E420" s="527"/>
      <c r="F420" s="527"/>
      <c r="G420" s="527"/>
      <c r="H420" s="527"/>
      <c r="I420" s="527"/>
      <c r="J420" s="527"/>
      <c r="K420" s="527"/>
      <c r="L420" s="527"/>
      <c r="M420" s="527"/>
      <c r="N420" s="527"/>
      <c r="O420" s="527"/>
      <c r="P420" s="527"/>
      <c r="Q420" s="527"/>
      <c r="R420" s="527"/>
      <c r="S420" s="527"/>
      <c r="T420" s="527"/>
      <c r="U420" s="527"/>
      <c r="V420" s="527"/>
      <c r="W420" s="4"/>
      <c r="X420" s="4"/>
    </row>
    <row r="421" spans="2:26" ht="37.5" customHeight="1" x14ac:dyDescent="0.3">
      <c r="B421" s="523" t="s">
        <v>338</v>
      </c>
      <c r="C421" s="523"/>
      <c r="D421" s="523"/>
      <c r="E421" s="523"/>
      <c r="F421" s="523"/>
      <c r="G421" s="523"/>
      <c r="H421" s="523"/>
      <c r="I421" s="523"/>
      <c r="J421" s="523"/>
      <c r="K421" s="523"/>
      <c r="L421" s="523"/>
      <c r="M421" s="523"/>
      <c r="N421" s="523"/>
      <c r="O421" s="523"/>
      <c r="P421" s="523"/>
      <c r="Q421" s="523"/>
      <c r="R421" s="523"/>
      <c r="S421" s="523"/>
      <c r="T421" s="523"/>
      <c r="U421" s="523"/>
      <c r="V421" s="523"/>
      <c r="W421" s="4"/>
      <c r="X421" s="4"/>
      <c r="Y421" s="30"/>
      <c r="Z421" s="30"/>
    </row>
    <row r="422" spans="2:26" ht="12.75" customHeight="1" x14ac:dyDescent="0.3">
      <c r="B422" s="430"/>
      <c r="C422" s="416"/>
      <c r="D422" s="422"/>
      <c r="E422" s="224"/>
      <c r="F422" s="424"/>
      <c r="G422" s="422"/>
      <c r="H422" s="226"/>
      <c r="I422" s="426"/>
      <c r="J422" s="422"/>
      <c r="K422" s="226"/>
      <c r="L422" s="426"/>
      <c r="M422" s="422"/>
      <c r="N422" s="226"/>
      <c r="O422" s="426"/>
      <c r="P422" s="422"/>
      <c r="Q422" s="226"/>
      <c r="R422" s="426"/>
      <c r="S422" s="428" t="s">
        <v>213</v>
      </c>
      <c r="T422" s="422"/>
      <c r="U422" s="426"/>
      <c r="V422" s="428" t="s">
        <v>213</v>
      </c>
      <c r="W422" s="413"/>
      <c r="X422" s="431" t="s">
        <v>213</v>
      </c>
      <c r="Y422" s="30"/>
      <c r="Z422" s="30"/>
    </row>
    <row r="423" spans="2:26" ht="12.75" customHeight="1" x14ac:dyDescent="0.3">
      <c r="B423" s="159" t="s">
        <v>0</v>
      </c>
      <c r="C423" s="524" t="s">
        <v>166</v>
      </c>
      <c r="D423" s="525"/>
      <c r="E423" s="526"/>
      <c r="F423" s="421" t="s">
        <v>531</v>
      </c>
      <c r="G423" s="421"/>
      <c r="H423" s="260"/>
      <c r="I423" s="258" t="s">
        <v>524</v>
      </c>
      <c r="J423" s="421"/>
      <c r="K423" s="260"/>
      <c r="L423" s="258" t="s">
        <v>532</v>
      </c>
      <c r="M423" s="421"/>
      <c r="N423" s="260"/>
      <c r="O423" s="258" t="s">
        <v>526</v>
      </c>
      <c r="P423" s="421"/>
      <c r="Q423" s="260"/>
      <c r="R423" s="258" t="s">
        <v>287</v>
      </c>
      <c r="S423" s="421"/>
      <c r="T423" s="259"/>
      <c r="U423" s="258" t="s">
        <v>527</v>
      </c>
      <c r="V423" s="421"/>
      <c r="W423" s="260"/>
      <c r="X423" s="432" t="s">
        <v>9</v>
      </c>
      <c r="Y423" s="519" t="s">
        <v>223</v>
      </c>
      <c r="Z423" s="521" t="s">
        <v>4</v>
      </c>
    </row>
    <row r="424" spans="2:26" ht="12.75" customHeight="1" x14ac:dyDescent="0.3">
      <c r="B424" s="163"/>
      <c r="C424" s="417"/>
      <c r="D424" s="423"/>
      <c r="E424" s="219"/>
      <c r="F424" s="425"/>
      <c r="G424" s="423"/>
      <c r="H424" s="221"/>
      <c r="I424" s="427"/>
      <c r="J424" s="423"/>
      <c r="K424" s="221"/>
      <c r="L424" s="427"/>
      <c r="M424" s="423"/>
      <c r="N424" s="221"/>
      <c r="O424" s="427"/>
      <c r="P424" s="423"/>
      <c r="Q424" s="221"/>
      <c r="R424" s="427"/>
      <c r="S424" s="429"/>
      <c r="T424" s="423"/>
      <c r="U424" s="433"/>
      <c r="V424" s="434" t="s">
        <v>213</v>
      </c>
      <c r="W424" s="435"/>
      <c r="X424" s="256"/>
      <c r="Y424" s="520"/>
      <c r="Z424" s="522"/>
    </row>
    <row r="425" spans="2:26" ht="12.75" customHeight="1" x14ac:dyDescent="0.3">
      <c r="B425" s="133">
        <v>1</v>
      </c>
      <c r="C425" s="237" t="s">
        <v>596</v>
      </c>
      <c r="D425" s="474"/>
      <c r="E425" s="238"/>
      <c r="F425" s="317"/>
      <c r="G425" s="418">
        <v>20</v>
      </c>
      <c r="H425" s="419"/>
      <c r="I425" s="317"/>
      <c r="J425" s="418">
        <v>16</v>
      </c>
      <c r="K425" s="419"/>
      <c r="L425" s="317"/>
      <c r="M425" s="418">
        <v>20</v>
      </c>
      <c r="N425" s="419"/>
      <c r="O425" s="317"/>
      <c r="P425" s="418"/>
      <c r="Q425" s="419"/>
      <c r="R425" s="419"/>
      <c r="S425" s="418"/>
      <c r="T425" s="419"/>
      <c r="U425" s="419"/>
      <c r="V425" s="418"/>
      <c r="W425" s="462"/>
      <c r="X425" s="420">
        <f t="shared" ref="X425:X429" si="318">G425+J425+M425+P425+S425+V425</f>
        <v>56</v>
      </c>
      <c r="Y425" s="140" t="str">
        <f t="shared" ref="Y425:Y429" si="319">IF(Z425&gt;=3,"Sí","No")</f>
        <v>Sí</v>
      </c>
      <c r="Z425" s="141">
        <f t="shared" ref="Z425:Z429" si="320">COUNTA(G425,J425,M425,P425,S425,V425)</f>
        <v>3</v>
      </c>
    </row>
    <row r="426" spans="2:26" ht="12.75" customHeight="1" x14ac:dyDescent="0.3">
      <c r="B426" s="133">
        <v>2</v>
      </c>
      <c r="C426" s="237" t="s">
        <v>212</v>
      </c>
      <c r="D426" s="474"/>
      <c r="E426" s="238"/>
      <c r="F426" s="317"/>
      <c r="G426" s="418">
        <v>16</v>
      </c>
      <c r="H426" s="419"/>
      <c r="I426" s="317"/>
      <c r="J426" s="418" t="s">
        <v>658</v>
      </c>
      <c r="K426" s="419"/>
      <c r="L426" s="317"/>
      <c r="M426" s="418" t="s">
        <v>658</v>
      </c>
      <c r="N426" s="419"/>
      <c r="O426" s="317"/>
      <c r="P426" s="418"/>
      <c r="Q426" s="419"/>
      <c r="R426" s="419"/>
      <c r="S426" s="418"/>
      <c r="T426" s="419"/>
      <c r="U426" s="419"/>
      <c r="V426" s="418"/>
      <c r="W426" s="462"/>
      <c r="X426" s="420" t="e">
        <f t="shared" si="318"/>
        <v>#VALUE!</v>
      </c>
      <c r="Y426" s="140" t="str">
        <f t="shared" si="319"/>
        <v>Sí</v>
      </c>
      <c r="Z426" s="141">
        <f t="shared" si="320"/>
        <v>3</v>
      </c>
    </row>
    <row r="427" spans="2:26" ht="12.75" customHeight="1" x14ac:dyDescent="0.3">
      <c r="B427" s="133">
        <v>3</v>
      </c>
      <c r="C427" s="237" t="s">
        <v>608</v>
      </c>
      <c r="D427" s="474"/>
      <c r="E427" s="238"/>
      <c r="F427" s="317"/>
      <c r="G427" s="418">
        <v>14</v>
      </c>
      <c r="H427" s="419"/>
      <c r="I427" s="317"/>
      <c r="J427" s="418">
        <v>12</v>
      </c>
      <c r="K427" s="419"/>
      <c r="L427" s="317"/>
      <c r="M427" s="418">
        <v>14</v>
      </c>
      <c r="N427" s="419"/>
      <c r="O427" s="317"/>
      <c r="P427" s="418"/>
      <c r="Q427" s="419"/>
      <c r="R427" s="419"/>
      <c r="S427" s="418"/>
      <c r="T427" s="419"/>
      <c r="U427" s="419"/>
      <c r="V427" s="418"/>
      <c r="W427" s="462"/>
      <c r="X427" s="420">
        <f t="shared" si="318"/>
        <v>40</v>
      </c>
      <c r="Y427" s="140" t="str">
        <f t="shared" si="319"/>
        <v>Sí</v>
      </c>
      <c r="Z427" s="141">
        <f t="shared" si="320"/>
        <v>3</v>
      </c>
    </row>
    <row r="428" spans="2:26" ht="12.75" customHeight="1" x14ac:dyDescent="0.3">
      <c r="B428" s="133" t="s">
        <v>658</v>
      </c>
      <c r="C428" s="237" t="s">
        <v>633</v>
      </c>
      <c r="D428" s="474"/>
      <c r="E428" s="238"/>
      <c r="F428" s="317"/>
      <c r="G428" s="418">
        <v>0</v>
      </c>
      <c r="H428" s="419"/>
      <c r="I428" s="317"/>
      <c r="J428" s="418" t="s">
        <v>658</v>
      </c>
      <c r="K428" s="419"/>
      <c r="L428" s="317"/>
      <c r="M428" s="418">
        <v>16</v>
      </c>
      <c r="N428" s="419"/>
      <c r="O428" s="317"/>
      <c r="P428" s="418"/>
      <c r="Q428" s="419"/>
      <c r="R428" s="419"/>
      <c r="S428" s="418"/>
      <c r="T428" s="419"/>
      <c r="U428" s="419"/>
      <c r="V428" s="418"/>
      <c r="W428" s="462"/>
      <c r="X428" s="420" t="e">
        <f t="shared" si="318"/>
        <v>#VALUE!</v>
      </c>
      <c r="Y428" s="140" t="str">
        <f t="shared" si="319"/>
        <v>Sí</v>
      </c>
      <c r="Z428" s="141">
        <f t="shared" si="320"/>
        <v>3</v>
      </c>
    </row>
    <row r="429" spans="2:26" ht="12.75" customHeight="1" x14ac:dyDescent="0.3">
      <c r="B429" s="133" t="s">
        <v>658</v>
      </c>
      <c r="C429" s="237" t="s">
        <v>673</v>
      </c>
      <c r="D429" s="474"/>
      <c r="E429" s="238"/>
      <c r="F429" s="317"/>
      <c r="G429" s="418" t="s">
        <v>658</v>
      </c>
      <c r="H429" s="419"/>
      <c r="I429" s="317"/>
      <c r="J429" s="418">
        <v>14</v>
      </c>
      <c r="K429" s="419"/>
      <c r="L429" s="317"/>
      <c r="M429" s="418" t="s">
        <v>658</v>
      </c>
      <c r="N429" s="419"/>
      <c r="O429" s="317"/>
      <c r="P429" s="418"/>
      <c r="Q429" s="419"/>
      <c r="R429" s="419"/>
      <c r="S429" s="418"/>
      <c r="T429" s="419"/>
      <c r="U429" s="419"/>
      <c r="V429" s="418"/>
      <c r="W429" s="462"/>
      <c r="X429" s="420" t="e">
        <f t="shared" si="318"/>
        <v>#VALUE!</v>
      </c>
      <c r="Y429" s="140" t="str">
        <f t="shared" si="319"/>
        <v>Sí</v>
      </c>
      <c r="Z429" s="141">
        <f t="shared" si="320"/>
        <v>3</v>
      </c>
    </row>
    <row r="431" spans="2:26" x14ac:dyDescent="0.3">
      <c r="T431" s="4"/>
      <c r="U431" s="4"/>
      <c r="V431" s="4"/>
      <c r="W431" s="4"/>
      <c r="X431" s="4"/>
    </row>
    <row r="434" spans="2:26" ht="39" customHeight="1" x14ac:dyDescent="0.55000000000000004">
      <c r="B434" s="527" t="s">
        <v>555</v>
      </c>
      <c r="C434" s="527"/>
      <c r="D434" s="527"/>
      <c r="E434" s="527"/>
      <c r="F434" s="527"/>
      <c r="G434" s="527"/>
      <c r="H434" s="527"/>
      <c r="I434" s="527"/>
      <c r="J434" s="527"/>
      <c r="K434" s="527"/>
      <c r="L434" s="527"/>
      <c r="M434" s="527"/>
      <c r="N434" s="527"/>
      <c r="O434" s="527"/>
      <c r="P434" s="527"/>
      <c r="Q434" s="527"/>
      <c r="R434" s="527"/>
      <c r="S434" s="527"/>
      <c r="T434" s="527"/>
      <c r="U434" s="527"/>
      <c r="V434" s="527"/>
      <c r="W434" s="4"/>
      <c r="X434" s="4"/>
      <c r="Y434" s="130" t="s">
        <v>657</v>
      </c>
    </row>
    <row r="435" spans="2:26" ht="37.5" customHeight="1" x14ac:dyDescent="0.3">
      <c r="B435" s="523" t="s">
        <v>224</v>
      </c>
      <c r="C435" s="523"/>
      <c r="D435" s="523"/>
      <c r="E435" s="523"/>
      <c r="F435" s="523"/>
      <c r="G435" s="523"/>
      <c r="H435" s="523"/>
      <c r="I435" s="523"/>
      <c r="J435" s="523"/>
      <c r="K435" s="523"/>
      <c r="L435" s="523"/>
      <c r="M435" s="523"/>
      <c r="N435" s="523"/>
      <c r="O435" s="523"/>
      <c r="P435" s="523"/>
      <c r="Q435" s="523"/>
      <c r="R435" s="523"/>
      <c r="S435" s="523"/>
      <c r="T435" s="523"/>
      <c r="U435" s="523"/>
      <c r="V435" s="523"/>
      <c r="W435" s="4"/>
      <c r="X435" s="4"/>
      <c r="Y435" s="30"/>
      <c r="Z435" s="30"/>
    </row>
    <row r="436" spans="2:26" ht="12.75" customHeight="1" x14ac:dyDescent="0.3">
      <c r="B436" s="430"/>
      <c r="C436" s="416"/>
      <c r="D436" s="422"/>
      <c r="E436" s="224"/>
      <c r="F436" s="424"/>
      <c r="G436" s="422"/>
      <c r="H436" s="226"/>
      <c r="I436" s="426"/>
      <c r="J436" s="422"/>
      <c r="K436" s="226"/>
      <c r="L436" s="426"/>
      <c r="M436" s="422"/>
      <c r="N436" s="226"/>
      <c r="O436" s="426"/>
      <c r="P436" s="422"/>
      <c r="Q436" s="226"/>
      <c r="R436" s="426"/>
      <c r="S436" s="428" t="s">
        <v>213</v>
      </c>
      <c r="T436" s="422"/>
      <c r="U436" s="426"/>
      <c r="V436" s="428" t="s">
        <v>213</v>
      </c>
      <c r="W436" s="413"/>
      <c r="X436" s="431" t="s">
        <v>213</v>
      </c>
      <c r="Y436" s="30"/>
      <c r="Z436" s="30"/>
    </row>
    <row r="437" spans="2:26" ht="12.75" customHeight="1" x14ac:dyDescent="0.3">
      <c r="B437" s="159" t="s">
        <v>0</v>
      </c>
      <c r="C437" s="524" t="s">
        <v>1</v>
      </c>
      <c r="D437" s="525"/>
      <c r="E437" s="526"/>
      <c r="F437" s="421" t="s">
        <v>531</v>
      </c>
      <c r="G437" s="421"/>
      <c r="H437" s="260"/>
      <c r="I437" s="258" t="s">
        <v>524</v>
      </c>
      <c r="J437" s="421"/>
      <c r="K437" s="260"/>
      <c r="L437" s="258" t="s">
        <v>532</v>
      </c>
      <c r="M437" s="421"/>
      <c r="N437" s="260"/>
      <c r="O437" s="258" t="s">
        <v>526</v>
      </c>
      <c r="P437" s="421"/>
      <c r="Q437" s="260"/>
      <c r="R437" s="258" t="s">
        <v>287</v>
      </c>
      <c r="S437" s="421"/>
      <c r="T437" s="259"/>
      <c r="U437" s="258" t="s">
        <v>527</v>
      </c>
      <c r="V437" s="421"/>
      <c r="W437" s="260"/>
      <c r="X437" s="432" t="s">
        <v>9</v>
      </c>
      <c r="Y437" s="519" t="s">
        <v>223</v>
      </c>
      <c r="Z437" s="521" t="s">
        <v>4</v>
      </c>
    </row>
    <row r="438" spans="2:26" ht="12.75" customHeight="1" x14ac:dyDescent="0.3">
      <c r="B438" s="163"/>
      <c r="C438" s="417"/>
      <c r="D438" s="423"/>
      <c r="E438" s="219"/>
      <c r="F438" s="425"/>
      <c r="G438" s="423"/>
      <c r="H438" s="221"/>
      <c r="I438" s="427"/>
      <c r="J438" s="423"/>
      <c r="K438" s="221"/>
      <c r="L438" s="427"/>
      <c r="M438" s="423"/>
      <c r="N438" s="221"/>
      <c r="O438" s="427"/>
      <c r="P438" s="423"/>
      <c r="Q438" s="221"/>
      <c r="R438" s="427"/>
      <c r="S438" s="429"/>
      <c r="T438" s="423"/>
      <c r="U438" s="433"/>
      <c r="V438" s="434" t="s">
        <v>213</v>
      </c>
      <c r="W438" s="435"/>
      <c r="X438" s="256"/>
      <c r="Y438" s="520"/>
      <c r="Z438" s="522"/>
    </row>
    <row r="439" spans="2:26" ht="12.75" customHeight="1" x14ac:dyDescent="0.3">
      <c r="B439" s="133">
        <v>1</v>
      </c>
      <c r="C439" s="516" t="s">
        <v>283</v>
      </c>
      <c r="D439" s="517"/>
      <c r="E439" s="518"/>
      <c r="F439" s="317"/>
      <c r="G439" s="418">
        <v>20</v>
      </c>
      <c r="H439" s="419"/>
      <c r="I439" s="317"/>
      <c r="J439" s="418">
        <v>20</v>
      </c>
      <c r="K439" s="419"/>
      <c r="L439" s="317"/>
      <c r="M439" s="418"/>
      <c r="N439" s="419"/>
      <c r="O439" s="317"/>
      <c r="P439" s="418"/>
      <c r="Q439" s="419"/>
      <c r="R439" s="419"/>
      <c r="S439" s="418"/>
      <c r="T439" s="419"/>
      <c r="U439" s="419"/>
      <c r="V439" s="418"/>
      <c r="W439" s="419"/>
      <c r="X439" s="420">
        <f t="shared" ref="X439:X444" si="321">G439+J439+M439+P439+S439+V439</f>
        <v>40</v>
      </c>
      <c r="Y439" s="140" t="str">
        <f t="shared" ref="Y439:Y444" si="322">IF(Z439&gt;=3,"Sí","No")</f>
        <v>No</v>
      </c>
      <c r="Z439" s="141">
        <f t="shared" ref="Z439:Z444" si="323">COUNTA(G439,J439,M439,P439,S439,V439)</f>
        <v>2</v>
      </c>
    </row>
    <row r="440" spans="2:26" ht="12.75" customHeight="1" x14ac:dyDescent="0.3">
      <c r="B440" s="133">
        <v>2</v>
      </c>
      <c r="C440" s="516" t="s">
        <v>332</v>
      </c>
      <c r="D440" s="517"/>
      <c r="E440" s="518"/>
      <c r="F440" s="317"/>
      <c r="G440" s="418">
        <v>16</v>
      </c>
      <c r="H440" s="419"/>
      <c r="I440" s="317"/>
      <c r="J440" s="418">
        <v>16</v>
      </c>
      <c r="K440" s="419"/>
      <c r="L440" s="317"/>
      <c r="M440" s="418">
        <v>16</v>
      </c>
      <c r="N440" s="419"/>
      <c r="O440" s="317"/>
      <c r="P440" s="418"/>
      <c r="Q440" s="419"/>
      <c r="R440" s="419"/>
      <c r="S440" s="418"/>
      <c r="T440" s="419"/>
      <c r="U440" s="419"/>
      <c r="V440" s="418"/>
      <c r="W440" s="419"/>
      <c r="X440" s="420">
        <f t="shared" si="321"/>
        <v>48</v>
      </c>
      <c r="Y440" s="140" t="str">
        <f t="shared" si="322"/>
        <v>Sí</v>
      </c>
      <c r="Z440" s="141">
        <f t="shared" si="323"/>
        <v>3</v>
      </c>
    </row>
    <row r="441" spans="2:26" ht="12.75" customHeight="1" x14ac:dyDescent="0.3">
      <c r="B441" s="133">
        <v>3</v>
      </c>
      <c r="C441" s="516" t="s">
        <v>621</v>
      </c>
      <c r="D441" s="517"/>
      <c r="E441" s="518"/>
      <c r="F441" s="317"/>
      <c r="G441" s="418">
        <v>14</v>
      </c>
      <c r="H441" s="419"/>
      <c r="I441" s="317"/>
      <c r="J441" s="418">
        <v>12</v>
      </c>
      <c r="K441" s="419"/>
      <c r="L441" s="317"/>
      <c r="M441" s="418"/>
      <c r="N441" s="419"/>
      <c r="O441" s="317"/>
      <c r="P441" s="418"/>
      <c r="Q441" s="419"/>
      <c r="R441" s="419"/>
      <c r="S441" s="418"/>
      <c r="T441" s="419"/>
      <c r="U441" s="419"/>
      <c r="V441" s="418"/>
      <c r="W441" s="419"/>
      <c r="X441" s="420">
        <f t="shared" si="321"/>
        <v>26</v>
      </c>
      <c r="Y441" s="140" t="str">
        <f t="shared" si="322"/>
        <v>No</v>
      </c>
      <c r="Z441" s="141">
        <f t="shared" si="323"/>
        <v>2</v>
      </c>
    </row>
    <row r="442" spans="2:26" ht="12.75" customHeight="1" x14ac:dyDescent="0.3">
      <c r="B442" s="133">
        <v>4</v>
      </c>
      <c r="C442" s="516" t="s">
        <v>624</v>
      </c>
      <c r="D442" s="517"/>
      <c r="E442" s="518"/>
      <c r="F442" s="317"/>
      <c r="G442" s="418">
        <v>12</v>
      </c>
      <c r="H442" s="419"/>
      <c r="I442" s="317"/>
      <c r="J442" s="418">
        <v>14</v>
      </c>
      <c r="K442" s="419"/>
      <c r="L442" s="317"/>
      <c r="M442" s="418">
        <v>20</v>
      </c>
      <c r="N442" s="419"/>
      <c r="O442" s="317"/>
      <c r="P442" s="418"/>
      <c r="Q442" s="419"/>
      <c r="R442" s="419"/>
      <c r="S442" s="418"/>
      <c r="T442" s="419"/>
      <c r="U442" s="419"/>
      <c r="V442" s="418"/>
      <c r="W442" s="419"/>
      <c r="X442" s="420">
        <f t="shared" si="321"/>
        <v>46</v>
      </c>
      <c r="Y442" s="140" t="str">
        <f t="shared" si="322"/>
        <v>Sí</v>
      </c>
      <c r="Z442" s="141">
        <f t="shared" si="323"/>
        <v>3</v>
      </c>
    </row>
    <row r="443" spans="2:26" ht="12.75" customHeight="1" x14ac:dyDescent="0.3">
      <c r="B443" s="133">
        <v>5</v>
      </c>
      <c r="C443" s="516" t="s">
        <v>637</v>
      </c>
      <c r="D443" s="517"/>
      <c r="E443" s="518"/>
      <c r="F443" s="317"/>
      <c r="G443" s="418">
        <v>0</v>
      </c>
      <c r="H443" s="419"/>
      <c r="I443" s="317"/>
      <c r="J443" s="418" t="s">
        <v>658</v>
      </c>
      <c r="K443" s="419"/>
      <c r="L443" s="317"/>
      <c r="M443" s="418"/>
      <c r="N443" s="419"/>
      <c r="O443" s="317"/>
      <c r="P443" s="418"/>
      <c r="Q443" s="419"/>
      <c r="R443" s="419"/>
      <c r="S443" s="418"/>
      <c r="T443" s="419"/>
      <c r="U443" s="419"/>
      <c r="V443" s="418"/>
      <c r="W443" s="419"/>
      <c r="X443" s="420" t="e">
        <f t="shared" si="321"/>
        <v>#VALUE!</v>
      </c>
      <c r="Y443" s="140" t="str">
        <f t="shared" si="322"/>
        <v>No</v>
      </c>
      <c r="Z443" s="141">
        <f t="shared" si="323"/>
        <v>2</v>
      </c>
    </row>
    <row r="444" spans="2:26" ht="12.75" customHeight="1" x14ac:dyDescent="0.3">
      <c r="B444" s="133">
        <v>5</v>
      </c>
      <c r="C444" s="516" t="s">
        <v>676</v>
      </c>
      <c r="D444" s="517"/>
      <c r="E444" s="518"/>
      <c r="F444" s="317"/>
      <c r="G444" s="418" t="s">
        <v>658</v>
      </c>
      <c r="H444" s="419"/>
      <c r="I444" s="317"/>
      <c r="J444" s="418">
        <v>10</v>
      </c>
      <c r="K444" s="419"/>
      <c r="L444" s="317"/>
      <c r="M444" s="418">
        <v>14</v>
      </c>
      <c r="N444" s="419"/>
      <c r="O444" s="317"/>
      <c r="P444" s="418"/>
      <c r="Q444" s="419"/>
      <c r="R444" s="419"/>
      <c r="S444" s="418"/>
      <c r="T444" s="419"/>
      <c r="U444" s="419"/>
      <c r="V444" s="418"/>
      <c r="W444" s="419"/>
      <c r="X444" s="420" t="e">
        <f t="shared" si="321"/>
        <v>#VALUE!</v>
      </c>
      <c r="Y444" s="140" t="str">
        <f t="shared" si="322"/>
        <v>Sí</v>
      </c>
      <c r="Z444" s="141">
        <f t="shared" si="323"/>
        <v>3</v>
      </c>
    </row>
    <row r="445" spans="2:26" ht="12.75" customHeight="1" x14ac:dyDescent="0.3">
      <c r="B445" s="152"/>
      <c r="C445" s="155"/>
      <c r="D445" s="155"/>
      <c r="E445" s="155"/>
      <c r="F445" s="155"/>
      <c r="G445" s="154"/>
      <c r="H445" s="155"/>
      <c r="I445" s="155"/>
      <c r="J445" s="154"/>
      <c r="K445" s="155"/>
      <c r="L445" s="155"/>
      <c r="M445" s="154"/>
      <c r="N445" s="155"/>
      <c r="O445" s="155"/>
      <c r="P445" s="154"/>
      <c r="Q445" s="155"/>
      <c r="R445" s="155"/>
      <c r="S445" s="154"/>
      <c r="T445" s="155"/>
      <c r="U445" s="155"/>
      <c r="V445" s="154"/>
      <c r="W445" s="155"/>
      <c r="X445" s="506"/>
      <c r="Y445" s="240"/>
      <c r="Z445" s="127"/>
    </row>
    <row r="446" spans="2:26" ht="39" customHeight="1" x14ac:dyDescent="0.55000000000000004">
      <c r="B446" s="527" t="s">
        <v>555</v>
      </c>
      <c r="C446" s="527"/>
      <c r="D446" s="527"/>
      <c r="E446" s="527"/>
      <c r="F446" s="527"/>
      <c r="G446" s="527"/>
      <c r="H446" s="527"/>
      <c r="I446" s="527"/>
      <c r="J446" s="527"/>
      <c r="K446" s="527"/>
      <c r="L446" s="527"/>
      <c r="M446" s="527"/>
      <c r="N446" s="527"/>
      <c r="O446" s="527"/>
      <c r="P446" s="527"/>
      <c r="Q446" s="527"/>
      <c r="R446" s="527"/>
      <c r="S446" s="527"/>
      <c r="T446" s="527"/>
      <c r="U446" s="527"/>
      <c r="V446" s="527"/>
      <c r="W446" s="4"/>
      <c r="X446" s="4"/>
    </row>
    <row r="447" spans="2:26" ht="37.5" customHeight="1" x14ac:dyDescent="0.3">
      <c r="B447" s="523" t="s">
        <v>338</v>
      </c>
      <c r="C447" s="523"/>
      <c r="D447" s="523"/>
      <c r="E447" s="523"/>
      <c r="F447" s="523"/>
      <c r="G447" s="523"/>
      <c r="H447" s="523"/>
      <c r="I447" s="523"/>
      <c r="J447" s="523"/>
      <c r="K447" s="523"/>
      <c r="L447" s="523"/>
      <c r="M447" s="523"/>
      <c r="N447" s="523"/>
      <c r="O447" s="523"/>
      <c r="P447" s="523"/>
      <c r="Q447" s="523"/>
      <c r="R447" s="523"/>
      <c r="S447" s="523"/>
      <c r="T447" s="523"/>
      <c r="U447" s="523"/>
      <c r="V447" s="523"/>
      <c r="W447" s="4"/>
      <c r="X447" s="4"/>
      <c r="Y447" s="30"/>
      <c r="Z447" s="30"/>
    </row>
    <row r="448" spans="2:26" ht="12.75" customHeight="1" x14ac:dyDescent="0.3">
      <c r="B448" s="430"/>
      <c r="C448" s="416"/>
      <c r="D448" s="422"/>
      <c r="E448" s="224"/>
      <c r="F448" s="424"/>
      <c r="G448" s="422"/>
      <c r="H448" s="226"/>
      <c r="I448" s="426"/>
      <c r="J448" s="422"/>
      <c r="K448" s="226"/>
      <c r="L448" s="426"/>
      <c r="M448" s="422"/>
      <c r="N448" s="226"/>
      <c r="O448" s="426"/>
      <c r="P448" s="422"/>
      <c r="Q448" s="226"/>
      <c r="R448" s="426"/>
      <c r="S448" s="428" t="s">
        <v>213</v>
      </c>
      <c r="T448" s="422"/>
      <c r="U448" s="426"/>
      <c r="V448" s="428" t="s">
        <v>213</v>
      </c>
      <c r="W448" s="413"/>
      <c r="X448" s="431" t="s">
        <v>213</v>
      </c>
      <c r="Y448" s="30"/>
      <c r="Z448" s="30"/>
    </row>
    <row r="449" spans="2:26" ht="12.75" customHeight="1" x14ac:dyDescent="0.3">
      <c r="B449" s="159" t="s">
        <v>0</v>
      </c>
      <c r="C449" s="524" t="s">
        <v>166</v>
      </c>
      <c r="D449" s="525"/>
      <c r="E449" s="526"/>
      <c r="F449" s="421" t="s">
        <v>531</v>
      </c>
      <c r="G449" s="421"/>
      <c r="H449" s="260"/>
      <c r="I449" s="258" t="s">
        <v>524</v>
      </c>
      <c r="J449" s="421"/>
      <c r="K449" s="260"/>
      <c r="L449" s="258" t="s">
        <v>532</v>
      </c>
      <c r="M449" s="421"/>
      <c r="N449" s="260"/>
      <c r="O449" s="258" t="s">
        <v>526</v>
      </c>
      <c r="P449" s="421"/>
      <c r="Q449" s="260"/>
      <c r="R449" s="258" t="s">
        <v>287</v>
      </c>
      <c r="S449" s="421"/>
      <c r="T449" s="259"/>
      <c r="U449" s="258" t="s">
        <v>527</v>
      </c>
      <c r="V449" s="421"/>
      <c r="W449" s="260"/>
      <c r="X449" s="432" t="s">
        <v>9</v>
      </c>
      <c r="Y449" s="519" t="s">
        <v>223</v>
      </c>
      <c r="Z449" s="521" t="s">
        <v>4</v>
      </c>
    </row>
    <row r="450" spans="2:26" ht="12.75" customHeight="1" x14ac:dyDescent="0.3">
      <c r="B450" s="163"/>
      <c r="C450" s="417"/>
      <c r="D450" s="423"/>
      <c r="E450" s="219"/>
      <c r="F450" s="425"/>
      <c r="G450" s="423"/>
      <c r="H450" s="221"/>
      <c r="I450" s="427"/>
      <c r="J450" s="423"/>
      <c r="K450" s="221"/>
      <c r="L450" s="427"/>
      <c r="M450" s="423"/>
      <c r="N450" s="221"/>
      <c r="O450" s="427"/>
      <c r="P450" s="423"/>
      <c r="Q450" s="221"/>
      <c r="R450" s="427"/>
      <c r="S450" s="429"/>
      <c r="T450" s="423"/>
      <c r="U450" s="433"/>
      <c r="V450" s="434" t="s">
        <v>213</v>
      </c>
      <c r="W450" s="435"/>
      <c r="X450" s="256"/>
      <c r="Y450" s="520"/>
      <c r="Z450" s="522"/>
    </row>
    <row r="451" spans="2:26" ht="12.75" customHeight="1" x14ac:dyDescent="0.3">
      <c r="B451" s="133">
        <v>1</v>
      </c>
      <c r="C451" s="516" t="s">
        <v>599</v>
      </c>
      <c r="D451" s="517"/>
      <c r="E451" s="518"/>
      <c r="F451" s="317"/>
      <c r="G451" s="418">
        <v>20</v>
      </c>
      <c r="H451" s="419"/>
      <c r="I451" s="317"/>
      <c r="J451" s="418" t="s">
        <v>658</v>
      </c>
      <c r="K451" s="419"/>
      <c r="L451" s="317"/>
      <c r="M451" s="418"/>
      <c r="N451" s="419"/>
      <c r="O451" s="317"/>
      <c r="P451" s="418"/>
      <c r="Q451" s="419"/>
      <c r="R451" s="419"/>
      <c r="S451" s="418"/>
      <c r="T451" s="419"/>
      <c r="U451" s="419"/>
      <c r="V451" s="418"/>
      <c r="W451" s="419"/>
      <c r="X451" s="420" t="e">
        <f t="shared" ref="X451:X457" si="324">G451+J451+M451+P451+S451+V451</f>
        <v>#VALUE!</v>
      </c>
      <c r="Y451" s="140" t="str">
        <f>IF(Z451&gt;=3,"Sí","No")</f>
        <v>No</v>
      </c>
      <c r="Z451" s="141">
        <f>COUNTA(G451,J451,M451,P451,S451,V451)</f>
        <v>2</v>
      </c>
    </row>
    <row r="452" spans="2:26" ht="12.75" customHeight="1" x14ac:dyDescent="0.3">
      <c r="B452" s="133">
        <v>2</v>
      </c>
      <c r="C452" s="516" t="s">
        <v>456</v>
      </c>
      <c r="D452" s="517"/>
      <c r="E452" s="518"/>
      <c r="F452" s="317"/>
      <c r="G452" s="418">
        <v>16</v>
      </c>
      <c r="H452" s="419"/>
      <c r="I452" s="317"/>
      <c r="J452" s="418">
        <v>16</v>
      </c>
      <c r="K452" s="419"/>
      <c r="L452" s="317"/>
      <c r="M452" s="418">
        <v>16</v>
      </c>
      <c r="N452" s="419"/>
      <c r="O452" s="317"/>
      <c r="P452" s="418"/>
      <c r="Q452" s="419"/>
      <c r="R452" s="419"/>
      <c r="S452" s="418"/>
      <c r="T452" s="419"/>
      <c r="U452" s="419"/>
      <c r="V452" s="418"/>
      <c r="W452" s="419"/>
      <c r="X452" s="420">
        <f t="shared" si="324"/>
        <v>48</v>
      </c>
      <c r="Y452" s="140" t="str">
        <f>IF(Z452&gt;=3,"Sí","No")</f>
        <v>Sí</v>
      </c>
      <c r="Z452" s="141">
        <f>COUNTA(G452,J452,M452,P452,S452,V452)</f>
        <v>3</v>
      </c>
    </row>
    <row r="453" spans="2:26" ht="12.75" customHeight="1" x14ac:dyDescent="0.3">
      <c r="B453" s="133">
        <v>3</v>
      </c>
      <c r="C453" s="516" t="s">
        <v>622</v>
      </c>
      <c r="D453" s="517"/>
      <c r="E453" s="518"/>
      <c r="F453" s="317"/>
      <c r="G453" s="418">
        <v>14</v>
      </c>
      <c r="H453" s="419"/>
      <c r="I453" s="317"/>
      <c r="J453" s="418">
        <v>12</v>
      </c>
      <c r="K453" s="419"/>
      <c r="L453" s="317"/>
      <c r="M453" s="418"/>
      <c r="N453" s="419"/>
      <c r="O453" s="317"/>
      <c r="P453" s="418"/>
      <c r="Q453" s="419"/>
      <c r="R453" s="419"/>
      <c r="S453" s="418"/>
      <c r="T453" s="419"/>
      <c r="U453" s="419"/>
      <c r="V453" s="418"/>
      <c r="W453" s="419"/>
      <c r="X453" s="420">
        <f t="shared" si="324"/>
        <v>26</v>
      </c>
      <c r="Y453" s="140" t="str">
        <f>IF(Z453&gt;=3,"Sí","No")</f>
        <v>No</v>
      </c>
      <c r="Z453" s="141">
        <f>COUNTA(G453,J453,M453,P453,S453,V453)</f>
        <v>2</v>
      </c>
    </row>
    <row r="454" spans="2:26" ht="12.75" customHeight="1" x14ac:dyDescent="0.3">
      <c r="B454" s="133">
        <v>4</v>
      </c>
      <c r="C454" s="516" t="s">
        <v>625</v>
      </c>
      <c r="D454" s="517"/>
      <c r="E454" s="518"/>
      <c r="F454" s="317"/>
      <c r="G454" s="418">
        <v>12</v>
      </c>
      <c r="H454" s="419"/>
      <c r="I454" s="317"/>
      <c r="J454" s="418">
        <v>14</v>
      </c>
      <c r="K454" s="419"/>
      <c r="L454" s="317"/>
      <c r="M454" s="418"/>
      <c r="N454" s="419"/>
      <c r="O454" s="317"/>
      <c r="P454" s="418"/>
      <c r="Q454" s="419"/>
      <c r="R454" s="419"/>
      <c r="S454" s="418"/>
      <c r="T454" s="419"/>
      <c r="U454" s="419"/>
      <c r="V454" s="418"/>
      <c r="W454" s="419"/>
      <c r="X454" s="420">
        <f t="shared" si="324"/>
        <v>26</v>
      </c>
      <c r="Y454" s="140" t="str">
        <f>IF(Z454&gt;=3,"Sí","No")</f>
        <v>No</v>
      </c>
      <c r="Z454" s="141">
        <f>COUNTA(G454,J454,M454,P454,S454,V454)</f>
        <v>2</v>
      </c>
    </row>
    <row r="455" spans="2:26" ht="12.75" customHeight="1" x14ac:dyDescent="0.3">
      <c r="B455" s="133">
        <v>5</v>
      </c>
      <c r="C455" s="516" t="s">
        <v>638</v>
      </c>
      <c r="D455" s="517"/>
      <c r="E455" s="518"/>
      <c r="F455" s="317"/>
      <c r="G455" s="418">
        <v>0</v>
      </c>
      <c r="H455" s="419"/>
      <c r="I455" s="317"/>
      <c r="J455" s="418" t="s">
        <v>658</v>
      </c>
      <c r="K455" s="419"/>
      <c r="L455" s="317"/>
      <c r="M455" s="418">
        <v>20</v>
      </c>
      <c r="N455" s="419"/>
      <c r="O455" s="317"/>
      <c r="P455" s="418"/>
      <c r="Q455" s="419"/>
      <c r="R455" s="419"/>
      <c r="S455" s="418"/>
      <c r="T455" s="419"/>
      <c r="U455" s="419"/>
      <c r="V455" s="418"/>
      <c r="W455" s="419"/>
      <c r="X455" s="420" t="e">
        <f t="shared" si="324"/>
        <v>#VALUE!</v>
      </c>
      <c r="Y455" s="140" t="str">
        <f>IF(Z455&gt;=3,"Sí","No")</f>
        <v>Sí</v>
      </c>
      <c r="Z455" s="141">
        <f>COUNTA(G455,J455,M455,P455,S455,V455)</f>
        <v>3</v>
      </c>
    </row>
    <row r="456" spans="2:26" ht="12.75" customHeight="1" x14ac:dyDescent="0.3">
      <c r="B456" s="133">
        <v>5</v>
      </c>
      <c r="C456" s="516" t="s">
        <v>670</v>
      </c>
      <c r="D456" s="517"/>
      <c r="E456" s="518"/>
      <c r="F456" s="317"/>
      <c r="G456" s="418" t="s">
        <v>658</v>
      </c>
      <c r="H456" s="419"/>
      <c r="I456" s="317"/>
      <c r="J456" s="418">
        <v>20</v>
      </c>
      <c r="K456" s="419"/>
      <c r="L456" s="317"/>
      <c r="M456" s="418"/>
      <c r="N456" s="419"/>
      <c r="O456" s="317"/>
      <c r="P456" s="418"/>
      <c r="Q456" s="419"/>
      <c r="R456" s="419"/>
      <c r="S456" s="418"/>
      <c r="T456" s="419"/>
      <c r="U456" s="419"/>
      <c r="V456" s="418"/>
      <c r="W456" s="419"/>
      <c r="X456" s="420" t="e">
        <f t="shared" si="324"/>
        <v>#VALUE!</v>
      </c>
      <c r="Y456" s="240"/>
      <c r="Z456" s="127"/>
    </row>
    <row r="457" spans="2:26" ht="12.75" customHeight="1" x14ac:dyDescent="0.3">
      <c r="B457" s="133">
        <v>5</v>
      </c>
      <c r="C457" s="516" t="s">
        <v>677</v>
      </c>
      <c r="D457" s="517"/>
      <c r="E457" s="518"/>
      <c r="F457" s="317"/>
      <c r="G457" s="418" t="s">
        <v>658</v>
      </c>
      <c r="H457" s="419"/>
      <c r="I457" s="317"/>
      <c r="J457" s="418">
        <v>10</v>
      </c>
      <c r="K457" s="419"/>
      <c r="L457" s="317"/>
      <c r="M457" s="418">
        <v>14</v>
      </c>
      <c r="N457" s="419"/>
      <c r="O457" s="317"/>
      <c r="P457" s="418"/>
      <c r="Q457" s="419"/>
      <c r="R457" s="419"/>
      <c r="S457" s="418"/>
      <c r="T457" s="419"/>
      <c r="U457" s="419"/>
      <c r="V457" s="418"/>
      <c r="W457" s="419"/>
      <c r="X457" s="420" t="e">
        <f t="shared" si="324"/>
        <v>#VALUE!</v>
      </c>
      <c r="Y457" s="240"/>
      <c r="Z457" s="127"/>
    </row>
    <row r="462" spans="2:26" x14ac:dyDescent="0.3">
      <c r="T462" s="4"/>
      <c r="U462" s="4"/>
      <c r="V462" s="4"/>
      <c r="W462" s="4"/>
      <c r="X462" s="4"/>
    </row>
    <row r="465" spans="20:24" x14ac:dyDescent="0.3">
      <c r="T465" s="4"/>
      <c r="U465" s="4"/>
      <c r="V465" s="4"/>
      <c r="W465" s="4"/>
      <c r="X465" s="4"/>
    </row>
    <row r="468" spans="20:24" x14ac:dyDescent="0.3">
      <c r="T468" s="4"/>
      <c r="U468" s="4"/>
      <c r="V468" s="4"/>
      <c r="W468" s="4"/>
      <c r="X468" s="4"/>
    </row>
    <row r="473" spans="20:24" x14ac:dyDescent="0.3">
      <c r="T473" s="4"/>
      <c r="U473" s="4"/>
      <c r="V473" s="4"/>
      <c r="W473" s="4"/>
      <c r="X473" s="4"/>
    </row>
    <row r="476" spans="20:24" x14ac:dyDescent="0.3">
      <c r="T476" s="4"/>
      <c r="U476" s="4"/>
      <c r="V476" s="4"/>
      <c r="W476" s="4"/>
      <c r="X476" s="4"/>
    </row>
    <row r="479" spans="20:24" x14ac:dyDescent="0.3">
      <c r="T479" s="4"/>
      <c r="U479" s="4"/>
      <c r="V479" s="4"/>
      <c r="W479" s="4"/>
      <c r="X479" s="4"/>
    </row>
  </sheetData>
  <autoFilter ref="C393:S393" xr:uid="{646F77C2-9B5F-4850-8025-230CB89969D0}">
    <sortState xmlns:xlrd2="http://schemas.microsoft.com/office/spreadsheetml/2017/richdata2" ref="C394:S403">
      <sortCondition descending="1" ref="S393"/>
    </sortState>
  </autoFilter>
  <mergeCells count="113">
    <mergeCell ref="C452:E452"/>
    <mergeCell ref="C453:E453"/>
    <mergeCell ref="C454:E454"/>
    <mergeCell ref="C455:E455"/>
    <mergeCell ref="C451:E451"/>
    <mergeCell ref="B434:V434"/>
    <mergeCell ref="B435:V435"/>
    <mergeCell ref="C437:E437"/>
    <mergeCell ref="Y437:Y438"/>
    <mergeCell ref="C440:E440"/>
    <mergeCell ref="C441:E441"/>
    <mergeCell ref="C442:E442"/>
    <mergeCell ref="C443:E443"/>
    <mergeCell ref="Z437:Z438"/>
    <mergeCell ref="C439:E439"/>
    <mergeCell ref="B446:V446"/>
    <mergeCell ref="B447:V447"/>
    <mergeCell ref="C449:E449"/>
    <mergeCell ref="Y449:Y450"/>
    <mergeCell ref="Z449:Z450"/>
    <mergeCell ref="Y412:Y413"/>
    <mergeCell ref="Z412:Z413"/>
    <mergeCell ref="B420:V420"/>
    <mergeCell ref="B421:V421"/>
    <mergeCell ref="C423:E423"/>
    <mergeCell ref="Y423:Y424"/>
    <mergeCell ref="Z423:Z424"/>
    <mergeCell ref="B215:W215"/>
    <mergeCell ref="B216:W216"/>
    <mergeCell ref="B228:W228"/>
    <mergeCell ref="B229:W229"/>
    <mergeCell ref="C396:E396"/>
    <mergeCell ref="C376:E376"/>
    <mergeCell ref="C377:E377"/>
    <mergeCell ref="C378:E378"/>
    <mergeCell ref="C379:E379"/>
    <mergeCell ref="C380:E380"/>
    <mergeCell ref="C343:E343"/>
    <mergeCell ref="C344:E344"/>
    <mergeCell ref="C365:E365"/>
    <mergeCell ref="C374:E374"/>
    <mergeCell ref="C375:E375"/>
    <mergeCell ref="B369:V369"/>
    <mergeCell ref="C354:E354"/>
    <mergeCell ref="C355:E355"/>
    <mergeCell ref="C384:E384"/>
    <mergeCell ref="B409:V409"/>
    <mergeCell ref="B410:V410"/>
    <mergeCell ref="C412:E412"/>
    <mergeCell ref="C401:E401"/>
    <mergeCell ref="C402:E402"/>
    <mergeCell ref="C403:E403"/>
    <mergeCell ref="C404:E404"/>
    <mergeCell ref="C398:E398"/>
    <mergeCell ref="B361:V361"/>
    <mergeCell ref="C399:E399"/>
    <mergeCell ref="C400:E400"/>
    <mergeCell ref="C381:E381"/>
    <mergeCell ref="C382:E382"/>
    <mergeCell ref="C383:E383"/>
    <mergeCell ref="C394:E394"/>
    <mergeCell ref="C395:E395"/>
    <mergeCell ref="C392:E392"/>
    <mergeCell ref="B389:V389"/>
    <mergeCell ref="B390:V390"/>
    <mergeCell ref="AJ133:AL133"/>
    <mergeCell ref="Y246:Y247"/>
    <mergeCell ref="Z246:Z247"/>
    <mergeCell ref="Y258:Y259"/>
    <mergeCell ref="Z258:Z259"/>
    <mergeCell ref="AJ182:AL182"/>
    <mergeCell ref="Z274:Z275"/>
    <mergeCell ref="C456:E456"/>
    <mergeCell ref="C444:E444"/>
    <mergeCell ref="Y372:Y373"/>
    <mergeCell ref="Z372:Z373"/>
    <mergeCell ref="Y274:Y275"/>
    <mergeCell ref="Y288:Y289"/>
    <mergeCell ref="Y392:Y393"/>
    <mergeCell ref="Z392:Z393"/>
    <mergeCell ref="Y329:Y330"/>
    <mergeCell ref="Z329:Z330"/>
    <mergeCell ref="Y341:Y342"/>
    <mergeCell ref="Z341:Z342"/>
    <mergeCell ref="Y363:Y364"/>
    <mergeCell ref="Z363:Z364"/>
    <mergeCell ref="C397:E397"/>
    <mergeCell ref="C372:E372"/>
    <mergeCell ref="B338:V338"/>
    <mergeCell ref="C457:E457"/>
    <mergeCell ref="Y4:Y5"/>
    <mergeCell ref="Z4:Z5"/>
    <mergeCell ref="Y56:Y57"/>
    <mergeCell ref="Z56:Z57"/>
    <mergeCell ref="Y113:Y114"/>
    <mergeCell ref="Z113:Z114"/>
    <mergeCell ref="Y162:Y163"/>
    <mergeCell ref="Z162:Z163"/>
    <mergeCell ref="B370:V370"/>
    <mergeCell ref="C341:E341"/>
    <mergeCell ref="C363:E363"/>
    <mergeCell ref="Z288:Z289"/>
    <mergeCell ref="Y303:Y304"/>
    <mergeCell ref="Z303:Z304"/>
    <mergeCell ref="Y316:Y317"/>
    <mergeCell ref="Z316:Z317"/>
    <mergeCell ref="B349:V349"/>
    <mergeCell ref="B350:V350"/>
    <mergeCell ref="C352:E352"/>
    <mergeCell ref="Y352:Y353"/>
    <mergeCell ref="Z352:Z353"/>
    <mergeCell ref="B339:V339"/>
    <mergeCell ref="B360:V360"/>
  </mergeCells>
  <conditionalFormatting sqref="D102 X425:X429">
    <cfRule type="containsBlanks" dxfId="34" priority="107">
      <formula>LEN(TRIM(D102))=0</formula>
    </cfRule>
  </conditionalFormatting>
  <conditionalFormatting sqref="D204">
    <cfRule type="containsBlanks" dxfId="33" priority="67">
      <formula>LEN(TRIM(D204))=0</formula>
    </cfRule>
  </conditionalFormatting>
  <conditionalFormatting sqref="D260:O260 Q260:R260 T260:U266 W260:X266">
    <cfRule type="containsBlanks" dxfId="32" priority="94">
      <formula>LEN(TRIM(D260))=0</formula>
    </cfRule>
  </conditionalFormatting>
  <conditionalFormatting sqref="D290:O296 Q290:R296">
    <cfRule type="containsBlanks" dxfId="31" priority="83">
      <formula>LEN(TRIM(D290))=0</formula>
    </cfRule>
  </conditionalFormatting>
  <conditionalFormatting sqref="D318:O322 Q318:U322">
    <cfRule type="containsBlanks" dxfId="30" priority="90">
      <formula>LEN(TRIM(D318))=0</formula>
    </cfRule>
  </conditionalFormatting>
  <conditionalFormatting sqref="D331:O333">
    <cfRule type="containsBlanks" dxfId="29" priority="54">
      <formula>LEN(TRIM(D331))=0</formula>
    </cfRule>
  </conditionalFormatting>
  <conditionalFormatting sqref="D305:U309">
    <cfRule type="containsBlanks" dxfId="28" priority="91">
      <formula>LEN(TRIM(D305))=0</formula>
    </cfRule>
  </conditionalFormatting>
  <conditionalFormatting sqref="D6:X6 O7:P16 N7:N38 Q7:X38 D7:M42 O17 O18:P38 N39:X42 D43:X47">
    <cfRule type="containsBlanks" dxfId="27" priority="106">
      <formula>LEN(TRIM(D6))=0</formula>
    </cfRule>
  </conditionalFormatting>
  <conditionalFormatting sqref="D58:X100">
    <cfRule type="containsBlanks" dxfId="26" priority="3">
      <formula>LEN(TRIM(D58))=0</formula>
    </cfRule>
  </conditionalFormatting>
  <conditionalFormatting sqref="D115:X152">
    <cfRule type="containsBlanks" dxfId="25" priority="99">
      <formula>LEN(TRIM(D115))=0</formula>
    </cfRule>
  </conditionalFormatting>
  <conditionalFormatting sqref="D164:X202">
    <cfRule type="containsBlanks" dxfId="24" priority="1">
      <formula>LEN(TRIM(D164))=0</formula>
    </cfRule>
  </conditionalFormatting>
  <conditionalFormatting sqref="D220:X224">
    <cfRule type="containsBlanks" dxfId="23" priority="36">
      <formula>LEN(TRIM(D220))=0</formula>
    </cfRule>
  </conditionalFormatting>
  <conditionalFormatting sqref="D233:X237">
    <cfRule type="containsBlanks" dxfId="22" priority="8">
      <formula>LEN(TRIM(D233))=0</formula>
    </cfRule>
  </conditionalFormatting>
  <conditionalFormatting sqref="D248:X251">
    <cfRule type="containsBlanks" dxfId="21" priority="53">
      <formula>LEN(TRIM(D248))=0</formula>
    </cfRule>
  </conditionalFormatting>
  <conditionalFormatting sqref="D276:X281">
    <cfRule type="containsBlanks" dxfId="20" priority="93">
      <formula>LEN(TRIM(D276))=0</formula>
    </cfRule>
  </conditionalFormatting>
  <conditionalFormatting sqref="G374:G385">
    <cfRule type="containsBlanks" dxfId="19" priority="64">
      <formula>LEN(TRIM(G374))=0</formula>
    </cfRule>
  </conditionalFormatting>
  <conditionalFormatting sqref="G394:G404 J394:J404 M394:M404 P394:P404 S394:S404 V394:V404">
    <cfRule type="containsBlanks" dxfId="18" priority="103">
      <formula>LEN(TRIM(G394))=0</formula>
    </cfRule>
  </conditionalFormatting>
  <conditionalFormatting sqref="J365">
    <cfRule type="containsBlanks" dxfId="17" priority="55">
      <formula>LEN(TRIM(J365))=0</formula>
    </cfRule>
  </conditionalFormatting>
  <conditionalFormatting sqref="J374:J385">
    <cfRule type="containsBlanks" dxfId="16" priority="62">
      <formula>LEN(TRIM(J374))=0</formula>
    </cfRule>
  </conditionalFormatting>
  <conditionalFormatting sqref="M374:M385">
    <cfRule type="containsBlanks" dxfId="15" priority="14">
      <formula>LEN(TRIM(M374))=0</formula>
    </cfRule>
  </conditionalFormatting>
  <conditionalFormatting sqref="P260:P266 D261:R266">
    <cfRule type="containsBlanks" dxfId="14" priority="84">
      <formula>LEN(TRIM(D260))=0</formula>
    </cfRule>
  </conditionalFormatting>
  <conditionalFormatting sqref="P374:P385">
    <cfRule type="containsBlanks" dxfId="13" priority="60">
      <formula>LEN(TRIM(P374))=0</formula>
    </cfRule>
  </conditionalFormatting>
  <conditionalFormatting sqref="Q331:R333 T331:U333">
    <cfRule type="containsBlanks" dxfId="12" priority="89">
      <formula>LEN(TRIM(Q331))=0</formula>
    </cfRule>
  </conditionalFormatting>
  <conditionalFormatting sqref="S374:S385">
    <cfRule type="containsBlanks" dxfId="11" priority="59">
      <formula>LEN(TRIM(S374))=0</formula>
    </cfRule>
  </conditionalFormatting>
  <conditionalFormatting sqref="T290:U296">
    <cfRule type="containsBlanks" dxfId="10" priority="66">
      <formula>LEN(TRIM(T290))=0</formula>
    </cfRule>
  </conditionalFormatting>
  <conditionalFormatting sqref="V374:V385">
    <cfRule type="containsBlanks" dxfId="9" priority="58">
      <formula>LEN(TRIM(V374))=0</formula>
    </cfRule>
  </conditionalFormatting>
  <conditionalFormatting sqref="W290:X296">
    <cfRule type="containsBlanks" dxfId="8" priority="92">
      <formula>LEN(TRIM(W290))=0</formula>
    </cfRule>
  </conditionalFormatting>
  <conditionalFormatting sqref="X343:X344">
    <cfRule type="containsBlanks" dxfId="7" priority="72">
      <formula>LEN(TRIM(X343))=0</formula>
    </cfRule>
  </conditionalFormatting>
  <conditionalFormatting sqref="X354:X355">
    <cfRule type="containsBlanks" dxfId="6" priority="29">
      <formula>LEN(TRIM(X354))=0</formula>
    </cfRule>
  </conditionalFormatting>
  <conditionalFormatting sqref="X365">
    <cfRule type="containsBlanks" dxfId="5" priority="57">
      <formula>LEN(TRIM(X365))=0</formula>
    </cfRule>
  </conditionalFormatting>
  <conditionalFormatting sqref="X374:X385">
    <cfRule type="containsBlanks" dxfId="4" priority="56">
      <formula>LEN(TRIM(X374))=0</formula>
    </cfRule>
  </conditionalFormatting>
  <conditionalFormatting sqref="X414:X417">
    <cfRule type="containsBlanks" dxfId="3" priority="31">
      <formula>LEN(TRIM(X414))=0</formula>
    </cfRule>
  </conditionalFormatting>
  <conditionalFormatting sqref="X439:X445">
    <cfRule type="containsBlanks" dxfId="2" priority="43">
      <formula>LEN(TRIM(X439))=0</formula>
    </cfRule>
  </conditionalFormatting>
  <conditionalFormatting sqref="X451:X457">
    <cfRule type="containsBlanks" dxfId="1" priority="32">
      <formula>LEN(TRIM(X451))=0</formula>
    </cfRule>
  </conditionalFormatting>
  <printOptions horizontalCentered="1"/>
  <pageMargins left="0.27559055118110237" right="0.19685039370078741" top="0.74803149606299213" bottom="0.74803149606299213" header="0.31496062992125984" footer="0.31496062992125984"/>
  <pageSetup paperSize="9" scale="58" fitToHeight="0" orientation="portrait" verticalDpi="4294967293" r:id="rId1"/>
  <rowBreaks count="7" manualBreakCount="7">
    <brk id="52" min="1" max="23" man="1"/>
    <brk id="108" min="1" max="23" man="1"/>
    <brk id="158" min="1" max="23" man="1"/>
    <brk id="214" max="16383" man="1"/>
    <brk id="269" min="1" max="20" man="1"/>
    <brk id="336" min="1" max="20" man="1"/>
    <brk id="406" max="16383" man="1"/>
  </rowBreaks>
  <colBreaks count="1" manualBreakCount="1">
    <brk id="28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50E5-D072-41BB-8255-4559D6157C90}">
  <dimension ref="A1:AA52"/>
  <sheetViews>
    <sheetView topLeftCell="E14" zoomScaleNormal="100" zoomScaleSheetLayoutView="80" zoomScalePageLayoutView="78" workbookViewId="0">
      <selection activeCell="H21" sqref="H21"/>
    </sheetView>
  </sheetViews>
  <sheetFormatPr baseColWidth="10" defaultColWidth="10.69921875" defaultRowHeight="14.5" x14ac:dyDescent="0.35"/>
  <cols>
    <col min="1" max="1" width="9" style="190" customWidth="1"/>
    <col min="2" max="2" width="6.296875" style="172" customWidth="1"/>
    <col min="3" max="3" width="36.5" style="172" bestFit="1" customWidth="1"/>
    <col min="4" max="4" width="45.5" style="172" bestFit="1" customWidth="1"/>
    <col min="5" max="5" width="8.796875" style="172" customWidth="1"/>
    <col min="6" max="6" width="47.19921875" style="172" customWidth="1"/>
    <col min="7" max="7" width="10.19921875" style="172" customWidth="1"/>
    <col min="8" max="8" width="41.796875" style="172" customWidth="1"/>
    <col min="9" max="9" width="11.19921875" style="196" customWidth="1"/>
    <col min="10" max="10" width="10.5" style="196" customWidth="1"/>
    <col min="11" max="11" width="12.796875" style="197" bestFit="1" customWidth="1"/>
    <col min="12" max="12" width="17.19921875" style="172" bestFit="1" customWidth="1"/>
    <col min="13" max="13" width="22" style="172" bestFit="1" customWidth="1"/>
    <col min="14" max="14" width="21.5" style="172" bestFit="1" customWidth="1"/>
    <col min="15" max="15" width="26" style="172" bestFit="1" customWidth="1"/>
    <col min="16" max="16" width="25" style="172" bestFit="1" customWidth="1"/>
    <col min="17" max="17" width="20.69921875" style="172" bestFit="1" customWidth="1"/>
    <col min="18" max="18" width="22.296875" style="172" bestFit="1" customWidth="1"/>
    <col min="19" max="19" width="34.796875" style="172" bestFit="1" customWidth="1"/>
    <col min="20" max="20" width="28.5" style="172" customWidth="1"/>
    <col min="21" max="21" width="23" style="172" bestFit="1" customWidth="1"/>
    <col min="22" max="22" width="19.19921875" style="172" bestFit="1" customWidth="1"/>
    <col min="23" max="23" width="21" style="172" bestFit="1" customWidth="1"/>
    <col min="24" max="24" width="32.19921875" style="172" bestFit="1" customWidth="1"/>
    <col min="25" max="25" width="10.69921875" style="172"/>
    <col min="26" max="26" width="31" style="172" bestFit="1" customWidth="1"/>
    <col min="27" max="256" width="10.69921875" style="172"/>
    <col min="257" max="257" width="9" style="172" customWidth="1"/>
    <col min="258" max="258" width="6.296875" style="172" customWidth="1"/>
    <col min="259" max="259" width="33.5" style="172" bestFit="1" customWidth="1"/>
    <col min="260" max="260" width="45.5" style="172" bestFit="1" customWidth="1"/>
    <col min="261" max="261" width="8.796875" style="172" customWidth="1"/>
    <col min="262" max="262" width="47.19921875" style="172" customWidth="1"/>
    <col min="263" max="263" width="10.19921875" style="172" customWidth="1"/>
    <col min="264" max="264" width="41.796875" style="172" customWidth="1"/>
    <col min="265" max="265" width="11.19921875" style="172" customWidth="1"/>
    <col min="266" max="266" width="10.5" style="172" customWidth="1"/>
    <col min="267" max="267" width="16" style="172" bestFit="1" customWidth="1"/>
    <col min="268" max="268" width="13.19921875" style="172" customWidth="1"/>
    <col min="269" max="269" width="11.796875" style="172" customWidth="1"/>
    <col min="270" max="270" width="9.69921875" style="172" customWidth="1"/>
    <col min="271" max="512" width="10.69921875" style="172"/>
    <col min="513" max="513" width="9" style="172" customWidth="1"/>
    <col min="514" max="514" width="6.296875" style="172" customWidth="1"/>
    <col min="515" max="515" width="33.5" style="172" bestFit="1" customWidth="1"/>
    <col min="516" max="516" width="45.5" style="172" bestFit="1" customWidth="1"/>
    <col min="517" max="517" width="8.796875" style="172" customWidth="1"/>
    <col min="518" max="518" width="47.19921875" style="172" customWidth="1"/>
    <col min="519" max="519" width="10.19921875" style="172" customWidth="1"/>
    <col min="520" max="520" width="41.796875" style="172" customWidth="1"/>
    <col min="521" max="521" width="11.19921875" style="172" customWidth="1"/>
    <col min="522" max="522" width="10.5" style="172" customWidth="1"/>
    <col min="523" max="523" width="16" style="172" bestFit="1" customWidth="1"/>
    <col min="524" max="524" width="13.19921875" style="172" customWidth="1"/>
    <col min="525" max="525" width="11.796875" style="172" customWidth="1"/>
    <col min="526" max="526" width="9.69921875" style="172" customWidth="1"/>
    <col min="527" max="768" width="10.69921875" style="172"/>
    <col min="769" max="769" width="9" style="172" customWidth="1"/>
    <col min="770" max="770" width="6.296875" style="172" customWidth="1"/>
    <col min="771" max="771" width="33.5" style="172" bestFit="1" customWidth="1"/>
    <col min="772" max="772" width="45.5" style="172" bestFit="1" customWidth="1"/>
    <col min="773" max="773" width="8.796875" style="172" customWidth="1"/>
    <col min="774" max="774" width="47.19921875" style="172" customWidth="1"/>
    <col min="775" max="775" width="10.19921875" style="172" customWidth="1"/>
    <col min="776" max="776" width="41.796875" style="172" customWidth="1"/>
    <col min="777" max="777" width="11.19921875" style="172" customWidth="1"/>
    <col min="778" max="778" width="10.5" style="172" customWidth="1"/>
    <col min="779" max="779" width="16" style="172" bestFit="1" customWidth="1"/>
    <col min="780" max="780" width="13.19921875" style="172" customWidth="1"/>
    <col min="781" max="781" width="11.796875" style="172" customWidth="1"/>
    <col min="782" max="782" width="9.69921875" style="172" customWidth="1"/>
    <col min="783" max="1024" width="10.69921875" style="172"/>
    <col min="1025" max="1025" width="9" style="172" customWidth="1"/>
    <col min="1026" max="1026" width="6.296875" style="172" customWidth="1"/>
    <col min="1027" max="1027" width="33.5" style="172" bestFit="1" customWidth="1"/>
    <col min="1028" max="1028" width="45.5" style="172" bestFit="1" customWidth="1"/>
    <col min="1029" max="1029" width="8.796875" style="172" customWidth="1"/>
    <col min="1030" max="1030" width="47.19921875" style="172" customWidth="1"/>
    <col min="1031" max="1031" width="10.19921875" style="172" customWidth="1"/>
    <col min="1032" max="1032" width="41.796875" style="172" customWidth="1"/>
    <col min="1033" max="1033" width="11.19921875" style="172" customWidth="1"/>
    <col min="1034" max="1034" width="10.5" style="172" customWidth="1"/>
    <col min="1035" max="1035" width="16" style="172" bestFit="1" customWidth="1"/>
    <col min="1036" max="1036" width="13.19921875" style="172" customWidth="1"/>
    <col min="1037" max="1037" width="11.796875" style="172" customWidth="1"/>
    <col min="1038" max="1038" width="9.69921875" style="172" customWidth="1"/>
    <col min="1039" max="1280" width="10.69921875" style="172"/>
    <col min="1281" max="1281" width="9" style="172" customWidth="1"/>
    <col min="1282" max="1282" width="6.296875" style="172" customWidth="1"/>
    <col min="1283" max="1283" width="33.5" style="172" bestFit="1" customWidth="1"/>
    <col min="1284" max="1284" width="45.5" style="172" bestFit="1" customWidth="1"/>
    <col min="1285" max="1285" width="8.796875" style="172" customWidth="1"/>
    <col min="1286" max="1286" width="47.19921875" style="172" customWidth="1"/>
    <col min="1287" max="1287" width="10.19921875" style="172" customWidth="1"/>
    <col min="1288" max="1288" width="41.796875" style="172" customWidth="1"/>
    <col min="1289" max="1289" width="11.19921875" style="172" customWidth="1"/>
    <col min="1290" max="1290" width="10.5" style="172" customWidth="1"/>
    <col min="1291" max="1291" width="16" style="172" bestFit="1" customWidth="1"/>
    <col min="1292" max="1292" width="13.19921875" style="172" customWidth="1"/>
    <col min="1293" max="1293" width="11.796875" style="172" customWidth="1"/>
    <col min="1294" max="1294" width="9.69921875" style="172" customWidth="1"/>
    <col min="1295" max="1536" width="10.69921875" style="172"/>
    <col min="1537" max="1537" width="9" style="172" customWidth="1"/>
    <col min="1538" max="1538" width="6.296875" style="172" customWidth="1"/>
    <col min="1539" max="1539" width="33.5" style="172" bestFit="1" customWidth="1"/>
    <col min="1540" max="1540" width="45.5" style="172" bestFit="1" customWidth="1"/>
    <col min="1541" max="1541" width="8.796875" style="172" customWidth="1"/>
    <col min="1542" max="1542" width="47.19921875" style="172" customWidth="1"/>
    <col min="1543" max="1543" width="10.19921875" style="172" customWidth="1"/>
    <col min="1544" max="1544" width="41.796875" style="172" customWidth="1"/>
    <col min="1545" max="1545" width="11.19921875" style="172" customWidth="1"/>
    <col min="1546" max="1546" width="10.5" style="172" customWidth="1"/>
    <col min="1547" max="1547" width="16" style="172" bestFit="1" customWidth="1"/>
    <col min="1548" max="1548" width="13.19921875" style="172" customWidth="1"/>
    <col min="1549" max="1549" width="11.796875" style="172" customWidth="1"/>
    <col min="1550" max="1550" width="9.69921875" style="172" customWidth="1"/>
    <col min="1551" max="1792" width="10.69921875" style="172"/>
    <col min="1793" max="1793" width="9" style="172" customWidth="1"/>
    <col min="1794" max="1794" width="6.296875" style="172" customWidth="1"/>
    <col min="1795" max="1795" width="33.5" style="172" bestFit="1" customWidth="1"/>
    <col min="1796" max="1796" width="45.5" style="172" bestFit="1" customWidth="1"/>
    <col min="1797" max="1797" width="8.796875" style="172" customWidth="1"/>
    <col min="1798" max="1798" width="47.19921875" style="172" customWidth="1"/>
    <col min="1799" max="1799" width="10.19921875" style="172" customWidth="1"/>
    <col min="1800" max="1800" width="41.796875" style="172" customWidth="1"/>
    <col min="1801" max="1801" width="11.19921875" style="172" customWidth="1"/>
    <col min="1802" max="1802" width="10.5" style="172" customWidth="1"/>
    <col min="1803" max="1803" width="16" style="172" bestFit="1" customWidth="1"/>
    <col min="1804" max="1804" width="13.19921875" style="172" customWidth="1"/>
    <col min="1805" max="1805" width="11.796875" style="172" customWidth="1"/>
    <col min="1806" max="1806" width="9.69921875" style="172" customWidth="1"/>
    <col min="1807" max="2048" width="10.69921875" style="172"/>
    <col min="2049" max="2049" width="9" style="172" customWidth="1"/>
    <col min="2050" max="2050" width="6.296875" style="172" customWidth="1"/>
    <col min="2051" max="2051" width="33.5" style="172" bestFit="1" customWidth="1"/>
    <col min="2052" max="2052" width="45.5" style="172" bestFit="1" customWidth="1"/>
    <col min="2053" max="2053" width="8.796875" style="172" customWidth="1"/>
    <col min="2054" max="2054" width="47.19921875" style="172" customWidth="1"/>
    <col min="2055" max="2055" width="10.19921875" style="172" customWidth="1"/>
    <col min="2056" max="2056" width="41.796875" style="172" customWidth="1"/>
    <col min="2057" max="2057" width="11.19921875" style="172" customWidth="1"/>
    <col min="2058" max="2058" width="10.5" style="172" customWidth="1"/>
    <col min="2059" max="2059" width="16" style="172" bestFit="1" customWidth="1"/>
    <col min="2060" max="2060" width="13.19921875" style="172" customWidth="1"/>
    <col min="2061" max="2061" width="11.796875" style="172" customWidth="1"/>
    <col min="2062" max="2062" width="9.69921875" style="172" customWidth="1"/>
    <col min="2063" max="2304" width="10.69921875" style="172"/>
    <col min="2305" max="2305" width="9" style="172" customWidth="1"/>
    <col min="2306" max="2306" width="6.296875" style="172" customWidth="1"/>
    <col min="2307" max="2307" width="33.5" style="172" bestFit="1" customWidth="1"/>
    <col min="2308" max="2308" width="45.5" style="172" bestFit="1" customWidth="1"/>
    <col min="2309" max="2309" width="8.796875" style="172" customWidth="1"/>
    <col min="2310" max="2310" width="47.19921875" style="172" customWidth="1"/>
    <col min="2311" max="2311" width="10.19921875" style="172" customWidth="1"/>
    <col min="2312" max="2312" width="41.796875" style="172" customWidth="1"/>
    <col min="2313" max="2313" width="11.19921875" style="172" customWidth="1"/>
    <col min="2314" max="2314" width="10.5" style="172" customWidth="1"/>
    <col min="2315" max="2315" width="16" style="172" bestFit="1" customWidth="1"/>
    <col min="2316" max="2316" width="13.19921875" style="172" customWidth="1"/>
    <col min="2317" max="2317" width="11.796875" style="172" customWidth="1"/>
    <col min="2318" max="2318" width="9.69921875" style="172" customWidth="1"/>
    <col min="2319" max="2560" width="10.69921875" style="172"/>
    <col min="2561" max="2561" width="9" style="172" customWidth="1"/>
    <col min="2562" max="2562" width="6.296875" style="172" customWidth="1"/>
    <col min="2563" max="2563" width="33.5" style="172" bestFit="1" customWidth="1"/>
    <col min="2564" max="2564" width="45.5" style="172" bestFit="1" customWidth="1"/>
    <col min="2565" max="2565" width="8.796875" style="172" customWidth="1"/>
    <col min="2566" max="2566" width="47.19921875" style="172" customWidth="1"/>
    <col min="2567" max="2567" width="10.19921875" style="172" customWidth="1"/>
    <col min="2568" max="2568" width="41.796875" style="172" customWidth="1"/>
    <col min="2569" max="2569" width="11.19921875" style="172" customWidth="1"/>
    <col min="2570" max="2570" width="10.5" style="172" customWidth="1"/>
    <col min="2571" max="2571" width="16" style="172" bestFit="1" customWidth="1"/>
    <col min="2572" max="2572" width="13.19921875" style="172" customWidth="1"/>
    <col min="2573" max="2573" width="11.796875" style="172" customWidth="1"/>
    <col min="2574" max="2574" width="9.69921875" style="172" customWidth="1"/>
    <col min="2575" max="2816" width="10.69921875" style="172"/>
    <col min="2817" max="2817" width="9" style="172" customWidth="1"/>
    <col min="2818" max="2818" width="6.296875" style="172" customWidth="1"/>
    <col min="2819" max="2819" width="33.5" style="172" bestFit="1" customWidth="1"/>
    <col min="2820" max="2820" width="45.5" style="172" bestFit="1" customWidth="1"/>
    <col min="2821" max="2821" width="8.796875" style="172" customWidth="1"/>
    <col min="2822" max="2822" width="47.19921875" style="172" customWidth="1"/>
    <col min="2823" max="2823" width="10.19921875" style="172" customWidth="1"/>
    <col min="2824" max="2824" width="41.796875" style="172" customWidth="1"/>
    <col min="2825" max="2825" width="11.19921875" style="172" customWidth="1"/>
    <col min="2826" max="2826" width="10.5" style="172" customWidth="1"/>
    <col min="2827" max="2827" width="16" style="172" bestFit="1" customWidth="1"/>
    <col min="2828" max="2828" width="13.19921875" style="172" customWidth="1"/>
    <col min="2829" max="2829" width="11.796875" style="172" customWidth="1"/>
    <col min="2830" max="2830" width="9.69921875" style="172" customWidth="1"/>
    <col min="2831" max="3072" width="10.69921875" style="172"/>
    <col min="3073" max="3073" width="9" style="172" customWidth="1"/>
    <col min="3074" max="3074" width="6.296875" style="172" customWidth="1"/>
    <col min="3075" max="3075" width="33.5" style="172" bestFit="1" customWidth="1"/>
    <col min="3076" max="3076" width="45.5" style="172" bestFit="1" customWidth="1"/>
    <col min="3077" max="3077" width="8.796875" style="172" customWidth="1"/>
    <col min="3078" max="3078" width="47.19921875" style="172" customWidth="1"/>
    <col min="3079" max="3079" width="10.19921875" style="172" customWidth="1"/>
    <col min="3080" max="3080" width="41.796875" style="172" customWidth="1"/>
    <col min="3081" max="3081" width="11.19921875" style="172" customWidth="1"/>
    <col min="3082" max="3082" width="10.5" style="172" customWidth="1"/>
    <col min="3083" max="3083" width="16" style="172" bestFit="1" customWidth="1"/>
    <col min="3084" max="3084" width="13.19921875" style="172" customWidth="1"/>
    <col min="3085" max="3085" width="11.796875" style="172" customWidth="1"/>
    <col min="3086" max="3086" width="9.69921875" style="172" customWidth="1"/>
    <col min="3087" max="3328" width="10.69921875" style="172"/>
    <col min="3329" max="3329" width="9" style="172" customWidth="1"/>
    <col min="3330" max="3330" width="6.296875" style="172" customWidth="1"/>
    <col min="3331" max="3331" width="33.5" style="172" bestFit="1" customWidth="1"/>
    <col min="3332" max="3332" width="45.5" style="172" bestFit="1" customWidth="1"/>
    <col min="3333" max="3333" width="8.796875" style="172" customWidth="1"/>
    <col min="3334" max="3334" width="47.19921875" style="172" customWidth="1"/>
    <col min="3335" max="3335" width="10.19921875" style="172" customWidth="1"/>
    <col min="3336" max="3336" width="41.796875" style="172" customWidth="1"/>
    <col min="3337" max="3337" width="11.19921875" style="172" customWidth="1"/>
    <col min="3338" max="3338" width="10.5" style="172" customWidth="1"/>
    <col min="3339" max="3339" width="16" style="172" bestFit="1" customWidth="1"/>
    <col min="3340" max="3340" width="13.19921875" style="172" customWidth="1"/>
    <col min="3341" max="3341" width="11.796875" style="172" customWidth="1"/>
    <col min="3342" max="3342" width="9.69921875" style="172" customWidth="1"/>
    <col min="3343" max="3584" width="10.69921875" style="172"/>
    <col min="3585" max="3585" width="9" style="172" customWidth="1"/>
    <col min="3586" max="3586" width="6.296875" style="172" customWidth="1"/>
    <col min="3587" max="3587" width="33.5" style="172" bestFit="1" customWidth="1"/>
    <col min="3588" max="3588" width="45.5" style="172" bestFit="1" customWidth="1"/>
    <col min="3589" max="3589" width="8.796875" style="172" customWidth="1"/>
    <col min="3590" max="3590" width="47.19921875" style="172" customWidth="1"/>
    <col min="3591" max="3591" width="10.19921875" style="172" customWidth="1"/>
    <col min="3592" max="3592" width="41.796875" style="172" customWidth="1"/>
    <col min="3593" max="3593" width="11.19921875" style="172" customWidth="1"/>
    <col min="3594" max="3594" width="10.5" style="172" customWidth="1"/>
    <col min="3595" max="3595" width="16" style="172" bestFit="1" customWidth="1"/>
    <col min="3596" max="3596" width="13.19921875" style="172" customWidth="1"/>
    <col min="3597" max="3597" width="11.796875" style="172" customWidth="1"/>
    <col min="3598" max="3598" width="9.69921875" style="172" customWidth="1"/>
    <col min="3599" max="3840" width="10.69921875" style="172"/>
    <col min="3841" max="3841" width="9" style="172" customWidth="1"/>
    <col min="3842" max="3842" width="6.296875" style="172" customWidth="1"/>
    <col min="3843" max="3843" width="33.5" style="172" bestFit="1" customWidth="1"/>
    <col min="3844" max="3844" width="45.5" style="172" bestFit="1" customWidth="1"/>
    <col min="3845" max="3845" width="8.796875" style="172" customWidth="1"/>
    <col min="3846" max="3846" width="47.19921875" style="172" customWidth="1"/>
    <col min="3847" max="3847" width="10.19921875" style="172" customWidth="1"/>
    <col min="3848" max="3848" width="41.796875" style="172" customWidth="1"/>
    <col min="3849" max="3849" width="11.19921875" style="172" customWidth="1"/>
    <col min="3850" max="3850" width="10.5" style="172" customWidth="1"/>
    <col min="3851" max="3851" width="16" style="172" bestFit="1" customWidth="1"/>
    <col min="3852" max="3852" width="13.19921875" style="172" customWidth="1"/>
    <col min="3853" max="3853" width="11.796875" style="172" customWidth="1"/>
    <col min="3854" max="3854" width="9.69921875" style="172" customWidth="1"/>
    <col min="3855" max="4096" width="10.69921875" style="172"/>
    <col min="4097" max="4097" width="9" style="172" customWidth="1"/>
    <col min="4098" max="4098" width="6.296875" style="172" customWidth="1"/>
    <col min="4099" max="4099" width="33.5" style="172" bestFit="1" customWidth="1"/>
    <col min="4100" max="4100" width="45.5" style="172" bestFit="1" customWidth="1"/>
    <col min="4101" max="4101" width="8.796875" style="172" customWidth="1"/>
    <col min="4102" max="4102" width="47.19921875" style="172" customWidth="1"/>
    <col min="4103" max="4103" width="10.19921875" style="172" customWidth="1"/>
    <col min="4104" max="4104" width="41.796875" style="172" customWidth="1"/>
    <col min="4105" max="4105" width="11.19921875" style="172" customWidth="1"/>
    <col min="4106" max="4106" width="10.5" style="172" customWidth="1"/>
    <col min="4107" max="4107" width="16" style="172" bestFit="1" customWidth="1"/>
    <col min="4108" max="4108" width="13.19921875" style="172" customWidth="1"/>
    <col min="4109" max="4109" width="11.796875" style="172" customWidth="1"/>
    <col min="4110" max="4110" width="9.69921875" style="172" customWidth="1"/>
    <col min="4111" max="4352" width="10.69921875" style="172"/>
    <col min="4353" max="4353" width="9" style="172" customWidth="1"/>
    <col min="4354" max="4354" width="6.296875" style="172" customWidth="1"/>
    <col min="4355" max="4355" width="33.5" style="172" bestFit="1" customWidth="1"/>
    <col min="4356" max="4356" width="45.5" style="172" bestFit="1" customWidth="1"/>
    <col min="4357" max="4357" width="8.796875" style="172" customWidth="1"/>
    <col min="4358" max="4358" width="47.19921875" style="172" customWidth="1"/>
    <col min="4359" max="4359" width="10.19921875" style="172" customWidth="1"/>
    <col min="4360" max="4360" width="41.796875" style="172" customWidth="1"/>
    <col min="4361" max="4361" width="11.19921875" style="172" customWidth="1"/>
    <col min="4362" max="4362" width="10.5" style="172" customWidth="1"/>
    <col min="4363" max="4363" width="16" style="172" bestFit="1" customWidth="1"/>
    <col min="4364" max="4364" width="13.19921875" style="172" customWidth="1"/>
    <col min="4365" max="4365" width="11.796875" style="172" customWidth="1"/>
    <col min="4366" max="4366" width="9.69921875" style="172" customWidth="1"/>
    <col min="4367" max="4608" width="10.69921875" style="172"/>
    <col min="4609" max="4609" width="9" style="172" customWidth="1"/>
    <col min="4610" max="4610" width="6.296875" style="172" customWidth="1"/>
    <col min="4611" max="4611" width="33.5" style="172" bestFit="1" customWidth="1"/>
    <col min="4612" max="4612" width="45.5" style="172" bestFit="1" customWidth="1"/>
    <col min="4613" max="4613" width="8.796875" style="172" customWidth="1"/>
    <col min="4614" max="4614" width="47.19921875" style="172" customWidth="1"/>
    <col min="4615" max="4615" width="10.19921875" style="172" customWidth="1"/>
    <col min="4616" max="4616" width="41.796875" style="172" customWidth="1"/>
    <col min="4617" max="4617" width="11.19921875" style="172" customWidth="1"/>
    <col min="4618" max="4618" width="10.5" style="172" customWidth="1"/>
    <col min="4619" max="4619" width="16" style="172" bestFit="1" customWidth="1"/>
    <col min="4620" max="4620" width="13.19921875" style="172" customWidth="1"/>
    <col min="4621" max="4621" width="11.796875" style="172" customWidth="1"/>
    <col min="4622" max="4622" width="9.69921875" style="172" customWidth="1"/>
    <col min="4623" max="4864" width="10.69921875" style="172"/>
    <col min="4865" max="4865" width="9" style="172" customWidth="1"/>
    <col min="4866" max="4866" width="6.296875" style="172" customWidth="1"/>
    <col min="4867" max="4867" width="33.5" style="172" bestFit="1" customWidth="1"/>
    <col min="4868" max="4868" width="45.5" style="172" bestFit="1" customWidth="1"/>
    <col min="4869" max="4869" width="8.796875" style="172" customWidth="1"/>
    <col min="4870" max="4870" width="47.19921875" style="172" customWidth="1"/>
    <col min="4871" max="4871" width="10.19921875" style="172" customWidth="1"/>
    <col min="4872" max="4872" width="41.796875" style="172" customWidth="1"/>
    <col min="4873" max="4873" width="11.19921875" style="172" customWidth="1"/>
    <col min="4874" max="4874" width="10.5" style="172" customWidth="1"/>
    <col min="4875" max="4875" width="16" style="172" bestFit="1" customWidth="1"/>
    <col min="4876" max="4876" width="13.19921875" style="172" customWidth="1"/>
    <col min="4877" max="4877" width="11.796875" style="172" customWidth="1"/>
    <col min="4878" max="4878" width="9.69921875" style="172" customWidth="1"/>
    <col min="4879" max="5120" width="10.69921875" style="172"/>
    <col min="5121" max="5121" width="9" style="172" customWidth="1"/>
    <col min="5122" max="5122" width="6.296875" style="172" customWidth="1"/>
    <col min="5123" max="5123" width="33.5" style="172" bestFit="1" customWidth="1"/>
    <col min="5124" max="5124" width="45.5" style="172" bestFit="1" customWidth="1"/>
    <col min="5125" max="5125" width="8.796875" style="172" customWidth="1"/>
    <col min="5126" max="5126" width="47.19921875" style="172" customWidth="1"/>
    <col min="5127" max="5127" width="10.19921875" style="172" customWidth="1"/>
    <col min="5128" max="5128" width="41.796875" style="172" customWidth="1"/>
    <col min="5129" max="5129" width="11.19921875" style="172" customWidth="1"/>
    <col min="5130" max="5130" width="10.5" style="172" customWidth="1"/>
    <col min="5131" max="5131" width="16" style="172" bestFit="1" customWidth="1"/>
    <col min="5132" max="5132" width="13.19921875" style="172" customWidth="1"/>
    <col min="5133" max="5133" width="11.796875" style="172" customWidth="1"/>
    <col min="5134" max="5134" width="9.69921875" style="172" customWidth="1"/>
    <col min="5135" max="5376" width="10.69921875" style="172"/>
    <col min="5377" max="5377" width="9" style="172" customWidth="1"/>
    <col min="5378" max="5378" width="6.296875" style="172" customWidth="1"/>
    <col min="5379" max="5379" width="33.5" style="172" bestFit="1" customWidth="1"/>
    <col min="5380" max="5380" width="45.5" style="172" bestFit="1" customWidth="1"/>
    <col min="5381" max="5381" width="8.796875" style="172" customWidth="1"/>
    <col min="5382" max="5382" width="47.19921875" style="172" customWidth="1"/>
    <col min="5383" max="5383" width="10.19921875" style="172" customWidth="1"/>
    <col min="5384" max="5384" width="41.796875" style="172" customWidth="1"/>
    <col min="5385" max="5385" width="11.19921875" style="172" customWidth="1"/>
    <col min="5386" max="5386" width="10.5" style="172" customWidth="1"/>
    <col min="5387" max="5387" width="16" style="172" bestFit="1" customWidth="1"/>
    <col min="5388" max="5388" width="13.19921875" style="172" customWidth="1"/>
    <col min="5389" max="5389" width="11.796875" style="172" customWidth="1"/>
    <col min="5390" max="5390" width="9.69921875" style="172" customWidth="1"/>
    <col min="5391" max="5632" width="10.69921875" style="172"/>
    <col min="5633" max="5633" width="9" style="172" customWidth="1"/>
    <col min="5634" max="5634" width="6.296875" style="172" customWidth="1"/>
    <col min="5635" max="5635" width="33.5" style="172" bestFit="1" customWidth="1"/>
    <col min="5636" max="5636" width="45.5" style="172" bestFit="1" customWidth="1"/>
    <col min="5637" max="5637" width="8.796875" style="172" customWidth="1"/>
    <col min="5638" max="5638" width="47.19921875" style="172" customWidth="1"/>
    <col min="5639" max="5639" width="10.19921875" style="172" customWidth="1"/>
    <col min="5640" max="5640" width="41.796875" style="172" customWidth="1"/>
    <col min="5641" max="5641" width="11.19921875" style="172" customWidth="1"/>
    <col min="5642" max="5642" width="10.5" style="172" customWidth="1"/>
    <col min="5643" max="5643" width="16" style="172" bestFit="1" customWidth="1"/>
    <col min="5644" max="5644" width="13.19921875" style="172" customWidth="1"/>
    <col min="5645" max="5645" width="11.796875" style="172" customWidth="1"/>
    <col min="5646" max="5646" width="9.69921875" style="172" customWidth="1"/>
    <col min="5647" max="5888" width="10.69921875" style="172"/>
    <col min="5889" max="5889" width="9" style="172" customWidth="1"/>
    <col min="5890" max="5890" width="6.296875" style="172" customWidth="1"/>
    <col min="5891" max="5891" width="33.5" style="172" bestFit="1" customWidth="1"/>
    <col min="5892" max="5892" width="45.5" style="172" bestFit="1" customWidth="1"/>
    <col min="5893" max="5893" width="8.796875" style="172" customWidth="1"/>
    <col min="5894" max="5894" width="47.19921875" style="172" customWidth="1"/>
    <col min="5895" max="5895" width="10.19921875" style="172" customWidth="1"/>
    <col min="5896" max="5896" width="41.796875" style="172" customWidth="1"/>
    <col min="5897" max="5897" width="11.19921875" style="172" customWidth="1"/>
    <col min="5898" max="5898" width="10.5" style="172" customWidth="1"/>
    <col min="5899" max="5899" width="16" style="172" bestFit="1" customWidth="1"/>
    <col min="5900" max="5900" width="13.19921875" style="172" customWidth="1"/>
    <col min="5901" max="5901" width="11.796875" style="172" customWidth="1"/>
    <col min="5902" max="5902" width="9.69921875" style="172" customWidth="1"/>
    <col min="5903" max="6144" width="10.69921875" style="172"/>
    <col min="6145" max="6145" width="9" style="172" customWidth="1"/>
    <col min="6146" max="6146" width="6.296875" style="172" customWidth="1"/>
    <col min="6147" max="6147" width="33.5" style="172" bestFit="1" customWidth="1"/>
    <col min="6148" max="6148" width="45.5" style="172" bestFit="1" customWidth="1"/>
    <col min="6149" max="6149" width="8.796875" style="172" customWidth="1"/>
    <col min="6150" max="6150" width="47.19921875" style="172" customWidth="1"/>
    <col min="6151" max="6151" width="10.19921875" style="172" customWidth="1"/>
    <col min="6152" max="6152" width="41.796875" style="172" customWidth="1"/>
    <col min="6153" max="6153" width="11.19921875" style="172" customWidth="1"/>
    <col min="6154" max="6154" width="10.5" style="172" customWidth="1"/>
    <col min="6155" max="6155" width="16" style="172" bestFit="1" customWidth="1"/>
    <col min="6156" max="6156" width="13.19921875" style="172" customWidth="1"/>
    <col min="6157" max="6157" width="11.796875" style="172" customWidth="1"/>
    <col min="6158" max="6158" width="9.69921875" style="172" customWidth="1"/>
    <col min="6159" max="6400" width="10.69921875" style="172"/>
    <col min="6401" max="6401" width="9" style="172" customWidth="1"/>
    <col min="6402" max="6402" width="6.296875" style="172" customWidth="1"/>
    <col min="6403" max="6403" width="33.5" style="172" bestFit="1" customWidth="1"/>
    <col min="6404" max="6404" width="45.5" style="172" bestFit="1" customWidth="1"/>
    <col min="6405" max="6405" width="8.796875" style="172" customWidth="1"/>
    <col min="6406" max="6406" width="47.19921875" style="172" customWidth="1"/>
    <col min="6407" max="6407" width="10.19921875" style="172" customWidth="1"/>
    <col min="6408" max="6408" width="41.796875" style="172" customWidth="1"/>
    <col min="6409" max="6409" width="11.19921875" style="172" customWidth="1"/>
    <col min="6410" max="6410" width="10.5" style="172" customWidth="1"/>
    <col min="6411" max="6411" width="16" style="172" bestFit="1" customWidth="1"/>
    <col min="6412" max="6412" width="13.19921875" style="172" customWidth="1"/>
    <col min="6413" max="6413" width="11.796875" style="172" customWidth="1"/>
    <col min="6414" max="6414" width="9.69921875" style="172" customWidth="1"/>
    <col min="6415" max="6656" width="10.69921875" style="172"/>
    <col min="6657" max="6657" width="9" style="172" customWidth="1"/>
    <col min="6658" max="6658" width="6.296875" style="172" customWidth="1"/>
    <col min="6659" max="6659" width="33.5" style="172" bestFit="1" customWidth="1"/>
    <col min="6660" max="6660" width="45.5" style="172" bestFit="1" customWidth="1"/>
    <col min="6661" max="6661" width="8.796875" style="172" customWidth="1"/>
    <col min="6662" max="6662" width="47.19921875" style="172" customWidth="1"/>
    <col min="6663" max="6663" width="10.19921875" style="172" customWidth="1"/>
    <col min="6664" max="6664" width="41.796875" style="172" customWidth="1"/>
    <col min="6665" max="6665" width="11.19921875" style="172" customWidth="1"/>
    <col min="6666" max="6666" width="10.5" style="172" customWidth="1"/>
    <col min="6667" max="6667" width="16" style="172" bestFit="1" customWidth="1"/>
    <col min="6668" max="6668" width="13.19921875" style="172" customWidth="1"/>
    <col min="6669" max="6669" width="11.796875" style="172" customWidth="1"/>
    <col min="6670" max="6670" width="9.69921875" style="172" customWidth="1"/>
    <col min="6671" max="6912" width="10.69921875" style="172"/>
    <col min="6913" max="6913" width="9" style="172" customWidth="1"/>
    <col min="6914" max="6914" width="6.296875" style="172" customWidth="1"/>
    <col min="6915" max="6915" width="33.5" style="172" bestFit="1" customWidth="1"/>
    <col min="6916" max="6916" width="45.5" style="172" bestFit="1" customWidth="1"/>
    <col min="6917" max="6917" width="8.796875" style="172" customWidth="1"/>
    <col min="6918" max="6918" width="47.19921875" style="172" customWidth="1"/>
    <col min="6919" max="6919" width="10.19921875" style="172" customWidth="1"/>
    <col min="6920" max="6920" width="41.796875" style="172" customWidth="1"/>
    <col min="6921" max="6921" width="11.19921875" style="172" customWidth="1"/>
    <col min="6922" max="6922" width="10.5" style="172" customWidth="1"/>
    <col min="6923" max="6923" width="16" style="172" bestFit="1" customWidth="1"/>
    <col min="6924" max="6924" width="13.19921875" style="172" customWidth="1"/>
    <col min="6925" max="6925" width="11.796875" style="172" customWidth="1"/>
    <col min="6926" max="6926" width="9.69921875" style="172" customWidth="1"/>
    <col min="6927" max="7168" width="10.69921875" style="172"/>
    <col min="7169" max="7169" width="9" style="172" customWidth="1"/>
    <col min="7170" max="7170" width="6.296875" style="172" customWidth="1"/>
    <col min="7171" max="7171" width="33.5" style="172" bestFit="1" customWidth="1"/>
    <col min="7172" max="7172" width="45.5" style="172" bestFit="1" customWidth="1"/>
    <col min="7173" max="7173" width="8.796875" style="172" customWidth="1"/>
    <col min="7174" max="7174" width="47.19921875" style="172" customWidth="1"/>
    <col min="7175" max="7175" width="10.19921875" style="172" customWidth="1"/>
    <col min="7176" max="7176" width="41.796875" style="172" customWidth="1"/>
    <col min="7177" max="7177" width="11.19921875" style="172" customWidth="1"/>
    <col min="7178" max="7178" width="10.5" style="172" customWidth="1"/>
    <col min="7179" max="7179" width="16" style="172" bestFit="1" customWidth="1"/>
    <col min="7180" max="7180" width="13.19921875" style="172" customWidth="1"/>
    <col min="7181" max="7181" width="11.796875" style="172" customWidth="1"/>
    <col min="7182" max="7182" width="9.69921875" style="172" customWidth="1"/>
    <col min="7183" max="7424" width="10.69921875" style="172"/>
    <col min="7425" max="7425" width="9" style="172" customWidth="1"/>
    <col min="7426" max="7426" width="6.296875" style="172" customWidth="1"/>
    <col min="7427" max="7427" width="33.5" style="172" bestFit="1" customWidth="1"/>
    <col min="7428" max="7428" width="45.5" style="172" bestFit="1" customWidth="1"/>
    <col min="7429" max="7429" width="8.796875" style="172" customWidth="1"/>
    <col min="7430" max="7430" width="47.19921875" style="172" customWidth="1"/>
    <col min="7431" max="7431" width="10.19921875" style="172" customWidth="1"/>
    <col min="7432" max="7432" width="41.796875" style="172" customWidth="1"/>
    <col min="7433" max="7433" width="11.19921875" style="172" customWidth="1"/>
    <col min="7434" max="7434" width="10.5" style="172" customWidth="1"/>
    <col min="7435" max="7435" width="16" style="172" bestFit="1" customWidth="1"/>
    <col min="7436" max="7436" width="13.19921875" style="172" customWidth="1"/>
    <col min="7437" max="7437" width="11.796875" style="172" customWidth="1"/>
    <col min="7438" max="7438" width="9.69921875" style="172" customWidth="1"/>
    <col min="7439" max="7680" width="10.69921875" style="172"/>
    <col min="7681" max="7681" width="9" style="172" customWidth="1"/>
    <col min="7682" max="7682" width="6.296875" style="172" customWidth="1"/>
    <col min="7683" max="7683" width="33.5" style="172" bestFit="1" customWidth="1"/>
    <col min="7684" max="7684" width="45.5" style="172" bestFit="1" customWidth="1"/>
    <col min="7685" max="7685" width="8.796875" style="172" customWidth="1"/>
    <col min="7686" max="7686" width="47.19921875" style="172" customWidth="1"/>
    <col min="7687" max="7687" width="10.19921875" style="172" customWidth="1"/>
    <col min="7688" max="7688" width="41.796875" style="172" customWidth="1"/>
    <col min="7689" max="7689" width="11.19921875" style="172" customWidth="1"/>
    <col min="7690" max="7690" width="10.5" style="172" customWidth="1"/>
    <col min="7691" max="7691" width="16" style="172" bestFit="1" customWidth="1"/>
    <col min="7692" max="7692" width="13.19921875" style="172" customWidth="1"/>
    <col min="7693" max="7693" width="11.796875" style="172" customWidth="1"/>
    <col min="7694" max="7694" width="9.69921875" style="172" customWidth="1"/>
    <col min="7695" max="7936" width="10.69921875" style="172"/>
    <col min="7937" max="7937" width="9" style="172" customWidth="1"/>
    <col min="7938" max="7938" width="6.296875" style="172" customWidth="1"/>
    <col min="7939" max="7939" width="33.5" style="172" bestFit="1" customWidth="1"/>
    <col min="7940" max="7940" width="45.5" style="172" bestFit="1" customWidth="1"/>
    <col min="7941" max="7941" width="8.796875" style="172" customWidth="1"/>
    <col min="7942" max="7942" width="47.19921875" style="172" customWidth="1"/>
    <col min="7943" max="7943" width="10.19921875" style="172" customWidth="1"/>
    <col min="7944" max="7944" width="41.796875" style="172" customWidth="1"/>
    <col min="7945" max="7945" width="11.19921875" style="172" customWidth="1"/>
    <col min="7946" max="7946" width="10.5" style="172" customWidth="1"/>
    <col min="7947" max="7947" width="16" style="172" bestFit="1" customWidth="1"/>
    <col min="7948" max="7948" width="13.19921875" style="172" customWidth="1"/>
    <col min="7949" max="7949" width="11.796875" style="172" customWidth="1"/>
    <col min="7950" max="7950" width="9.69921875" style="172" customWidth="1"/>
    <col min="7951" max="8192" width="10.69921875" style="172"/>
    <col min="8193" max="8193" width="9" style="172" customWidth="1"/>
    <col min="8194" max="8194" width="6.296875" style="172" customWidth="1"/>
    <col min="8195" max="8195" width="33.5" style="172" bestFit="1" customWidth="1"/>
    <col min="8196" max="8196" width="45.5" style="172" bestFit="1" customWidth="1"/>
    <col min="8197" max="8197" width="8.796875" style="172" customWidth="1"/>
    <col min="8198" max="8198" width="47.19921875" style="172" customWidth="1"/>
    <col min="8199" max="8199" width="10.19921875" style="172" customWidth="1"/>
    <col min="8200" max="8200" width="41.796875" style="172" customWidth="1"/>
    <col min="8201" max="8201" width="11.19921875" style="172" customWidth="1"/>
    <col min="8202" max="8202" width="10.5" style="172" customWidth="1"/>
    <col min="8203" max="8203" width="16" style="172" bestFit="1" customWidth="1"/>
    <col min="8204" max="8204" width="13.19921875" style="172" customWidth="1"/>
    <col min="8205" max="8205" width="11.796875" style="172" customWidth="1"/>
    <col min="8206" max="8206" width="9.69921875" style="172" customWidth="1"/>
    <col min="8207" max="8448" width="10.69921875" style="172"/>
    <col min="8449" max="8449" width="9" style="172" customWidth="1"/>
    <col min="8450" max="8450" width="6.296875" style="172" customWidth="1"/>
    <col min="8451" max="8451" width="33.5" style="172" bestFit="1" customWidth="1"/>
    <col min="8452" max="8452" width="45.5" style="172" bestFit="1" customWidth="1"/>
    <col min="8453" max="8453" width="8.796875" style="172" customWidth="1"/>
    <col min="8454" max="8454" width="47.19921875" style="172" customWidth="1"/>
    <col min="8455" max="8455" width="10.19921875" style="172" customWidth="1"/>
    <col min="8456" max="8456" width="41.796875" style="172" customWidth="1"/>
    <col min="8457" max="8457" width="11.19921875" style="172" customWidth="1"/>
    <col min="8458" max="8458" width="10.5" style="172" customWidth="1"/>
    <col min="8459" max="8459" width="16" style="172" bestFit="1" customWidth="1"/>
    <col min="8460" max="8460" width="13.19921875" style="172" customWidth="1"/>
    <col min="8461" max="8461" width="11.796875" style="172" customWidth="1"/>
    <col min="8462" max="8462" width="9.69921875" style="172" customWidth="1"/>
    <col min="8463" max="8704" width="10.69921875" style="172"/>
    <col min="8705" max="8705" width="9" style="172" customWidth="1"/>
    <col min="8706" max="8706" width="6.296875" style="172" customWidth="1"/>
    <col min="8707" max="8707" width="33.5" style="172" bestFit="1" customWidth="1"/>
    <col min="8708" max="8708" width="45.5" style="172" bestFit="1" customWidth="1"/>
    <col min="8709" max="8709" width="8.796875" style="172" customWidth="1"/>
    <col min="8710" max="8710" width="47.19921875" style="172" customWidth="1"/>
    <col min="8711" max="8711" width="10.19921875" style="172" customWidth="1"/>
    <col min="8712" max="8712" width="41.796875" style="172" customWidth="1"/>
    <col min="8713" max="8713" width="11.19921875" style="172" customWidth="1"/>
    <col min="8714" max="8714" width="10.5" style="172" customWidth="1"/>
    <col min="8715" max="8715" width="16" style="172" bestFit="1" customWidth="1"/>
    <col min="8716" max="8716" width="13.19921875" style="172" customWidth="1"/>
    <col min="8717" max="8717" width="11.796875" style="172" customWidth="1"/>
    <col min="8718" max="8718" width="9.69921875" style="172" customWidth="1"/>
    <col min="8719" max="8960" width="10.69921875" style="172"/>
    <col min="8961" max="8961" width="9" style="172" customWidth="1"/>
    <col min="8962" max="8962" width="6.296875" style="172" customWidth="1"/>
    <col min="8963" max="8963" width="33.5" style="172" bestFit="1" customWidth="1"/>
    <col min="8964" max="8964" width="45.5" style="172" bestFit="1" customWidth="1"/>
    <col min="8965" max="8965" width="8.796875" style="172" customWidth="1"/>
    <col min="8966" max="8966" width="47.19921875" style="172" customWidth="1"/>
    <col min="8967" max="8967" width="10.19921875" style="172" customWidth="1"/>
    <col min="8968" max="8968" width="41.796875" style="172" customWidth="1"/>
    <col min="8969" max="8969" width="11.19921875" style="172" customWidth="1"/>
    <col min="8970" max="8970" width="10.5" style="172" customWidth="1"/>
    <col min="8971" max="8971" width="16" style="172" bestFit="1" customWidth="1"/>
    <col min="8972" max="8972" width="13.19921875" style="172" customWidth="1"/>
    <col min="8973" max="8973" width="11.796875" style="172" customWidth="1"/>
    <col min="8974" max="8974" width="9.69921875" style="172" customWidth="1"/>
    <col min="8975" max="9216" width="10.69921875" style="172"/>
    <col min="9217" max="9217" width="9" style="172" customWidth="1"/>
    <col min="9218" max="9218" width="6.296875" style="172" customWidth="1"/>
    <col min="9219" max="9219" width="33.5" style="172" bestFit="1" customWidth="1"/>
    <col min="9220" max="9220" width="45.5" style="172" bestFit="1" customWidth="1"/>
    <col min="9221" max="9221" width="8.796875" style="172" customWidth="1"/>
    <col min="9222" max="9222" width="47.19921875" style="172" customWidth="1"/>
    <col min="9223" max="9223" width="10.19921875" style="172" customWidth="1"/>
    <col min="9224" max="9224" width="41.796875" style="172" customWidth="1"/>
    <col min="9225" max="9225" width="11.19921875" style="172" customWidth="1"/>
    <col min="9226" max="9226" width="10.5" style="172" customWidth="1"/>
    <col min="9227" max="9227" width="16" style="172" bestFit="1" customWidth="1"/>
    <col min="9228" max="9228" width="13.19921875" style="172" customWidth="1"/>
    <col min="9229" max="9229" width="11.796875" style="172" customWidth="1"/>
    <col min="9230" max="9230" width="9.69921875" style="172" customWidth="1"/>
    <col min="9231" max="9472" width="10.69921875" style="172"/>
    <col min="9473" max="9473" width="9" style="172" customWidth="1"/>
    <col min="9474" max="9474" width="6.296875" style="172" customWidth="1"/>
    <col min="9475" max="9475" width="33.5" style="172" bestFit="1" customWidth="1"/>
    <col min="9476" max="9476" width="45.5" style="172" bestFit="1" customWidth="1"/>
    <col min="9477" max="9477" width="8.796875" style="172" customWidth="1"/>
    <col min="9478" max="9478" width="47.19921875" style="172" customWidth="1"/>
    <col min="9479" max="9479" width="10.19921875" style="172" customWidth="1"/>
    <col min="9480" max="9480" width="41.796875" style="172" customWidth="1"/>
    <col min="9481" max="9481" width="11.19921875" style="172" customWidth="1"/>
    <col min="9482" max="9482" width="10.5" style="172" customWidth="1"/>
    <col min="9483" max="9483" width="16" style="172" bestFit="1" customWidth="1"/>
    <col min="9484" max="9484" width="13.19921875" style="172" customWidth="1"/>
    <col min="9485" max="9485" width="11.796875" style="172" customWidth="1"/>
    <col min="9486" max="9486" width="9.69921875" style="172" customWidth="1"/>
    <col min="9487" max="9728" width="10.69921875" style="172"/>
    <col min="9729" max="9729" width="9" style="172" customWidth="1"/>
    <col min="9730" max="9730" width="6.296875" style="172" customWidth="1"/>
    <col min="9731" max="9731" width="33.5" style="172" bestFit="1" customWidth="1"/>
    <col min="9732" max="9732" width="45.5" style="172" bestFit="1" customWidth="1"/>
    <col min="9733" max="9733" width="8.796875" style="172" customWidth="1"/>
    <col min="9734" max="9734" width="47.19921875" style="172" customWidth="1"/>
    <col min="9735" max="9735" width="10.19921875" style="172" customWidth="1"/>
    <col min="9736" max="9736" width="41.796875" style="172" customWidth="1"/>
    <col min="9737" max="9737" width="11.19921875" style="172" customWidth="1"/>
    <col min="9738" max="9738" width="10.5" style="172" customWidth="1"/>
    <col min="9739" max="9739" width="16" style="172" bestFit="1" customWidth="1"/>
    <col min="9740" max="9740" width="13.19921875" style="172" customWidth="1"/>
    <col min="9741" max="9741" width="11.796875" style="172" customWidth="1"/>
    <col min="9742" max="9742" width="9.69921875" style="172" customWidth="1"/>
    <col min="9743" max="9984" width="10.69921875" style="172"/>
    <col min="9985" max="9985" width="9" style="172" customWidth="1"/>
    <col min="9986" max="9986" width="6.296875" style="172" customWidth="1"/>
    <col min="9987" max="9987" width="33.5" style="172" bestFit="1" customWidth="1"/>
    <col min="9988" max="9988" width="45.5" style="172" bestFit="1" customWidth="1"/>
    <col min="9989" max="9989" width="8.796875" style="172" customWidth="1"/>
    <col min="9990" max="9990" width="47.19921875" style="172" customWidth="1"/>
    <col min="9991" max="9991" width="10.19921875" style="172" customWidth="1"/>
    <col min="9992" max="9992" width="41.796875" style="172" customWidth="1"/>
    <col min="9993" max="9993" width="11.19921875" style="172" customWidth="1"/>
    <col min="9994" max="9994" width="10.5" style="172" customWidth="1"/>
    <col min="9995" max="9995" width="16" style="172" bestFit="1" customWidth="1"/>
    <col min="9996" max="9996" width="13.19921875" style="172" customWidth="1"/>
    <col min="9997" max="9997" width="11.796875" style="172" customWidth="1"/>
    <col min="9998" max="9998" width="9.69921875" style="172" customWidth="1"/>
    <col min="9999" max="10240" width="10.69921875" style="172"/>
    <col min="10241" max="10241" width="9" style="172" customWidth="1"/>
    <col min="10242" max="10242" width="6.296875" style="172" customWidth="1"/>
    <col min="10243" max="10243" width="33.5" style="172" bestFit="1" customWidth="1"/>
    <col min="10244" max="10244" width="45.5" style="172" bestFit="1" customWidth="1"/>
    <col min="10245" max="10245" width="8.796875" style="172" customWidth="1"/>
    <col min="10246" max="10246" width="47.19921875" style="172" customWidth="1"/>
    <col min="10247" max="10247" width="10.19921875" style="172" customWidth="1"/>
    <col min="10248" max="10248" width="41.796875" style="172" customWidth="1"/>
    <col min="10249" max="10249" width="11.19921875" style="172" customWidth="1"/>
    <col min="10250" max="10250" width="10.5" style="172" customWidth="1"/>
    <col min="10251" max="10251" width="16" style="172" bestFit="1" customWidth="1"/>
    <col min="10252" max="10252" width="13.19921875" style="172" customWidth="1"/>
    <col min="10253" max="10253" width="11.796875" style="172" customWidth="1"/>
    <col min="10254" max="10254" width="9.69921875" style="172" customWidth="1"/>
    <col min="10255" max="10496" width="10.69921875" style="172"/>
    <col min="10497" max="10497" width="9" style="172" customWidth="1"/>
    <col min="10498" max="10498" width="6.296875" style="172" customWidth="1"/>
    <col min="10499" max="10499" width="33.5" style="172" bestFit="1" customWidth="1"/>
    <col min="10500" max="10500" width="45.5" style="172" bestFit="1" customWidth="1"/>
    <col min="10501" max="10501" width="8.796875" style="172" customWidth="1"/>
    <col min="10502" max="10502" width="47.19921875" style="172" customWidth="1"/>
    <col min="10503" max="10503" width="10.19921875" style="172" customWidth="1"/>
    <col min="10504" max="10504" width="41.796875" style="172" customWidth="1"/>
    <col min="10505" max="10505" width="11.19921875" style="172" customWidth="1"/>
    <col min="10506" max="10506" width="10.5" style="172" customWidth="1"/>
    <col min="10507" max="10507" width="16" style="172" bestFit="1" customWidth="1"/>
    <col min="10508" max="10508" width="13.19921875" style="172" customWidth="1"/>
    <col min="10509" max="10509" width="11.796875" style="172" customWidth="1"/>
    <col min="10510" max="10510" width="9.69921875" style="172" customWidth="1"/>
    <col min="10511" max="10752" width="10.69921875" style="172"/>
    <col min="10753" max="10753" width="9" style="172" customWidth="1"/>
    <col min="10754" max="10754" width="6.296875" style="172" customWidth="1"/>
    <col min="10755" max="10755" width="33.5" style="172" bestFit="1" customWidth="1"/>
    <col min="10756" max="10756" width="45.5" style="172" bestFit="1" customWidth="1"/>
    <col min="10757" max="10757" width="8.796875" style="172" customWidth="1"/>
    <col min="10758" max="10758" width="47.19921875" style="172" customWidth="1"/>
    <col min="10759" max="10759" width="10.19921875" style="172" customWidth="1"/>
    <col min="10760" max="10760" width="41.796875" style="172" customWidth="1"/>
    <col min="10761" max="10761" width="11.19921875" style="172" customWidth="1"/>
    <col min="10762" max="10762" width="10.5" style="172" customWidth="1"/>
    <col min="10763" max="10763" width="16" style="172" bestFit="1" customWidth="1"/>
    <col min="10764" max="10764" width="13.19921875" style="172" customWidth="1"/>
    <col min="10765" max="10765" width="11.796875" style="172" customWidth="1"/>
    <col min="10766" max="10766" width="9.69921875" style="172" customWidth="1"/>
    <col min="10767" max="11008" width="10.69921875" style="172"/>
    <col min="11009" max="11009" width="9" style="172" customWidth="1"/>
    <col min="11010" max="11010" width="6.296875" style="172" customWidth="1"/>
    <col min="11011" max="11011" width="33.5" style="172" bestFit="1" customWidth="1"/>
    <col min="11012" max="11012" width="45.5" style="172" bestFit="1" customWidth="1"/>
    <col min="11013" max="11013" width="8.796875" style="172" customWidth="1"/>
    <col min="11014" max="11014" width="47.19921875" style="172" customWidth="1"/>
    <col min="11015" max="11015" width="10.19921875" style="172" customWidth="1"/>
    <col min="11016" max="11016" width="41.796875" style="172" customWidth="1"/>
    <col min="11017" max="11017" width="11.19921875" style="172" customWidth="1"/>
    <col min="11018" max="11018" width="10.5" style="172" customWidth="1"/>
    <col min="11019" max="11019" width="16" style="172" bestFit="1" customWidth="1"/>
    <col min="11020" max="11020" width="13.19921875" style="172" customWidth="1"/>
    <col min="11021" max="11021" width="11.796875" style="172" customWidth="1"/>
    <col min="11022" max="11022" width="9.69921875" style="172" customWidth="1"/>
    <col min="11023" max="11264" width="10.69921875" style="172"/>
    <col min="11265" max="11265" width="9" style="172" customWidth="1"/>
    <col min="11266" max="11266" width="6.296875" style="172" customWidth="1"/>
    <col min="11267" max="11267" width="33.5" style="172" bestFit="1" customWidth="1"/>
    <col min="11268" max="11268" width="45.5" style="172" bestFit="1" customWidth="1"/>
    <col min="11269" max="11269" width="8.796875" style="172" customWidth="1"/>
    <col min="11270" max="11270" width="47.19921875" style="172" customWidth="1"/>
    <col min="11271" max="11271" width="10.19921875" style="172" customWidth="1"/>
    <col min="11272" max="11272" width="41.796875" style="172" customWidth="1"/>
    <col min="11273" max="11273" width="11.19921875" style="172" customWidth="1"/>
    <col min="11274" max="11274" width="10.5" style="172" customWidth="1"/>
    <col min="11275" max="11275" width="16" style="172" bestFit="1" customWidth="1"/>
    <col min="11276" max="11276" width="13.19921875" style="172" customWidth="1"/>
    <col min="11277" max="11277" width="11.796875" style="172" customWidth="1"/>
    <col min="11278" max="11278" width="9.69921875" style="172" customWidth="1"/>
    <col min="11279" max="11520" width="10.69921875" style="172"/>
    <col min="11521" max="11521" width="9" style="172" customWidth="1"/>
    <col min="11522" max="11522" width="6.296875" style="172" customWidth="1"/>
    <col min="11523" max="11523" width="33.5" style="172" bestFit="1" customWidth="1"/>
    <col min="11524" max="11524" width="45.5" style="172" bestFit="1" customWidth="1"/>
    <col min="11525" max="11525" width="8.796875" style="172" customWidth="1"/>
    <col min="11526" max="11526" width="47.19921875" style="172" customWidth="1"/>
    <col min="11527" max="11527" width="10.19921875" style="172" customWidth="1"/>
    <col min="11528" max="11528" width="41.796875" style="172" customWidth="1"/>
    <col min="11529" max="11529" width="11.19921875" style="172" customWidth="1"/>
    <col min="11530" max="11530" width="10.5" style="172" customWidth="1"/>
    <col min="11531" max="11531" width="16" style="172" bestFit="1" customWidth="1"/>
    <col min="11532" max="11532" width="13.19921875" style="172" customWidth="1"/>
    <col min="11533" max="11533" width="11.796875" style="172" customWidth="1"/>
    <col min="11534" max="11534" width="9.69921875" style="172" customWidth="1"/>
    <col min="11535" max="11776" width="10.69921875" style="172"/>
    <col min="11777" max="11777" width="9" style="172" customWidth="1"/>
    <col min="11778" max="11778" width="6.296875" style="172" customWidth="1"/>
    <col min="11779" max="11779" width="33.5" style="172" bestFit="1" customWidth="1"/>
    <col min="11780" max="11780" width="45.5" style="172" bestFit="1" customWidth="1"/>
    <col min="11781" max="11781" width="8.796875" style="172" customWidth="1"/>
    <col min="11782" max="11782" width="47.19921875" style="172" customWidth="1"/>
    <col min="11783" max="11783" width="10.19921875" style="172" customWidth="1"/>
    <col min="11784" max="11784" width="41.796875" style="172" customWidth="1"/>
    <col min="11785" max="11785" width="11.19921875" style="172" customWidth="1"/>
    <col min="11786" max="11786" width="10.5" style="172" customWidth="1"/>
    <col min="11787" max="11787" width="16" style="172" bestFit="1" customWidth="1"/>
    <col min="11788" max="11788" width="13.19921875" style="172" customWidth="1"/>
    <col min="11789" max="11789" width="11.796875" style="172" customWidth="1"/>
    <col min="11790" max="11790" width="9.69921875" style="172" customWidth="1"/>
    <col min="11791" max="12032" width="10.69921875" style="172"/>
    <col min="12033" max="12033" width="9" style="172" customWidth="1"/>
    <col min="12034" max="12034" width="6.296875" style="172" customWidth="1"/>
    <col min="12035" max="12035" width="33.5" style="172" bestFit="1" customWidth="1"/>
    <col min="12036" max="12036" width="45.5" style="172" bestFit="1" customWidth="1"/>
    <col min="12037" max="12037" width="8.796875" style="172" customWidth="1"/>
    <col min="12038" max="12038" width="47.19921875" style="172" customWidth="1"/>
    <col min="12039" max="12039" width="10.19921875" style="172" customWidth="1"/>
    <col min="12040" max="12040" width="41.796875" style="172" customWidth="1"/>
    <col min="12041" max="12041" width="11.19921875" style="172" customWidth="1"/>
    <col min="12042" max="12042" width="10.5" style="172" customWidth="1"/>
    <col min="12043" max="12043" width="16" style="172" bestFit="1" customWidth="1"/>
    <col min="12044" max="12044" width="13.19921875" style="172" customWidth="1"/>
    <col min="12045" max="12045" width="11.796875" style="172" customWidth="1"/>
    <col min="12046" max="12046" width="9.69921875" style="172" customWidth="1"/>
    <col min="12047" max="12288" width="10.69921875" style="172"/>
    <col min="12289" max="12289" width="9" style="172" customWidth="1"/>
    <col min="12290" max="12290" width="6.296875" style="172" customWidth="1"/>
    <col min="12291" max="12291" width="33.5" style="172" bestFit="1" customWidth="1"/>
    <col min="12292" max="12292" width="45.5" style="172" bestFit="1" customWidth="1"/>
    <col min="12293" max="12293" width="8.796875" style="172" customWidth="1"/>
    <col min="12294" max="12294" width="47.19921875" style="172" customWidth="1"/>
    <col min="12295" max="12295" width="10.19921875" style="172" customWidth="1"/>
    <col min="12296" max="12296" width="41.796875" style="172" customWidth="1"/>
    <col min="12297" max="12297" width="11.19921875" style="172" customWidth="1"/>
    <col min="12298" max="12298" width="10.5" style="172" customWidth="1"/>
    <col min="12299" max="12299" width="16" style="172" bestFit="1" customWidth="1"/>
    <col min="12300" max="12300" width="13.19921875" style="172" customWidth="1"/>
    <col min="12301" max="12301" width="11.796875" style="172" customWidth="1"/>
    <col min="12302" max="12302" width="9.69921875" style="172" customWidth="1"/>
    <col min="12303" max="12544" width="10.69921875" style="172"/>
    <col min="12545" max="12545" width="9" style="172" customWidth="1"/>
    <col min="12546" max="12546" width="6.296875" style="172" customWidth="1"/>
    <col min="12547" max="12547" width="33.5" style="172" bestFit="1" customWidth="1"/>
    <col min="12548" max="12548" width="45.5" style="172" bestFit="1" customWidth="1"/>
    <col min="12549" max="12549" width="8.796875" style="172" customWidth="1"/>
    <col min="12550" max="12550" width="47.19921875" style="172" customWidth="1"/>
    <col min="12551" max="12551" width="10.19921875" style="172" customWidth="1"/>
    <col min="12552" max="12552" width="41.796875" style="172" customWidth="1"/>
    <col min="12553" max="12553" width="11.19921875" style="172" customWidth="1"/>
    <col min="12554" max="12554" width="10.5" style="172" customWidth="1"/>
    <col min="12555" max="12555" width="16" style="172" bestFit="1" customWidth="1"/>
    <col min="12556" max="12556" width="13.19921875" style="172" customWidth="1"/>
    <col min="12557" max="12557" width="11.796875" style="172" customWidth="1"/>
    <col min="12558" max="12558" width="9.69921875" style="172" customWidth="1"/>
    <col min="12559" max="12800" width="10.69921875" style="172"/>
    <col min="12801" max="12801" width="9" style="172" customWidth="1"/>
    <col min="12802" max="12802" width="6.296875" style="172" customWidth="1"/>
    <col min="12803" max="12803" width="33.5" style="172" bestFit="1" customWidth="1"/>
    <col min="12804" max="12804" width="45.5" style="172" bestFit="1" customWidth="1"/>
    <col min="12805" max="12805" width="8.796875" style="172" customWidth="1"/>
    <col min="12806" max="12806" width="47.19921875" style="172" customWidth="1"/>
    <col min="12807" max="12807" width="10.19921875" style="172" customWidth="1"/>
    <col min="12808" max="12808" width="41.796875" style="172" customWidth="1"/>
    <col min="12809" max="12809" width="11.19921875" style="172" customWidth="1"/>
    <col min="12810" max="12810" width="10.5" style="172" customWidth="1"/>
    <col min="12811" max="12811" width="16" style="172" bestFit="1" customWidth="1"/>
    <col min="12812" max="12812" width="13.19921875" style="172" customWidth="1"/>
    <col min="12813" max="12813" width="11.796875" style="172" customWidth="1"/>
    <col min="12814" max="12814" width="9.69921875" style="172" customWidth="1"/>
    <col min="12815" max="13056" width="10.69921875" style="172"/>
    <col min="13057" max="13057" width="9" style="172" customWidth="1"/>
    <col min="13058" max="13058" width="6.296875" style="172" customWidth="1"/>
    <col min="13059" max="13059" width="33.5" style="172" bestFit="1" customWidth="1"/>
    <col min="13060" max="13060" width="45.5" style="172" bestFit="1" customWidth="1"/>
    <col min="13061" max="13061" width="8.796875" style="172" customWidth="1"/>
    <col min="13062" max="13062" width="47.19921875" style="172" customWidth="1"/>
    <col min="13063" max="13063" width="10.19921875" style="172" customWidth="1"/>
    <col min="13064" max="13064" width="41.796875" style="172" customWidth="1"/>
    <col min="13065" max="13065" width="11.19921875" style="172" customWidth="1"/>
    <col min="13066" max="13066" width="10.5" style="172" customWidth="1"/>
    <col min="13067" max="13067" width="16" style="172" bestFit="1" customWidth="1"/>
    <col min="13068" max="13068" width="13.19921875" style="172" customWidth="1"/>
    <col min="13069" max="13069" width="11.796875" style="172" customWidth="1"/>
    <col min="13070" max="13070" width="9.69921875" style="172" customWidth="1"/>
    <col min="13071" max="13312" width="10.69921875" style="172"/>
    <col min="13313" max="13313" width="9" style="172" customWidth="1"/>
    <col min="13314" max="13314" width="6.296875" style="172" customWidth="1"/>
    <col min="13315" max="13315" width="33.5" style="172" bestFit="1" customWidth="1"/>
    <col min="13316" max="13316" width="45.5" style="172" bestFit="1" customWidth="1"/>
    <col min="13317" max="13317" width="8.796875" style="172" customWidth="1"/>
    <col min="13318" max="13318" width="47.19921875" style="172" customWidth="1"/>
    <col min="13319" max="13319" width="10.19921875" style="172" customWidth="1"/>
    <col min="13320" max="13320" width="41.796875" style="172" customWidth="1"/>
    <col min="13321" max="13321" width="11.19921875" style="172" customWidth="1"/>
    <col min="13322" max="13322" width="10.5" style="172" customWidth="1"/>
    <col min="13323" max="13323" width="16" style="172" bestFit="1" customWidth="1"/>
    <col min="13324" max="13324" width="13.19921875" style="172" customWidth="1"/>
    <col min="13325" max="13325" width="11.796875" style="172" customWidth="1"/>
    <col min="13326" max="13326" width="9.69921875" style="172" customWidth="1"/>
    <col min="13327" max="13568" width="10.69921875" style="172"/>
    <col min="13569" max="13569" width="9" style="172" customWidth="1"/>
    <col min="13570" max="13570" width="6.296875" style="172" customWidth="1"/>
    <col min="13571" max="13571" width="33.5" style="172" bestFit="1" customWidth="1"/>
    <col min="13572" max="13572" width="45.5" style="172" bestFit="1" customWidth="1"/>
    <col min="13573" max="13573" width="8.796875" style="172" customWidth="1"/>
    <col min="13574" max="13574" width="47.19921875" style="172" customWidth="1"/>
    <col min="13575" max="13575" width="10.19921875" style="172" customWidth="1"/>
    <col min="13576" max="13576" width="41.796875" style="172" customWidth="1"/>
    <col min="13577" max="13577" width="11.19921875" style="172" customWidth="1"/>
    <col min="13578" max="13578" width="10.5" style="172" customWidth="1"/>
    <col min="13579" max="13579" width="16" style="172" bestFit="1" customWidth="1"/>
    <col min="13580" max="13580" width="13.19921875" style="172" customWidth="1"/>
    <col min="13581" max="13581" width="11.796875" style="172" customWidth="1"/>
    <col min="13582" max="13582" width="9.69921875" style="172" customWidth="1"/>
    <col min="13583" max="13824" width="10.69921875" style="172"/>
    <col min="13825" max="13825" width="9" style="172" customWidth="1"/>
    <col min="13826" max="13826" width="6.296875" style="172" customWidth="1"/>
    <col min="13827" max="13827" width="33.5" style="172" bestFit="1" customWidth="1"/>
    <col min="13828" max="13828" width="45.5" style="172" bestFit="1" customWidth="1"/>
    <col min="13829" max="13829" width="8.796875" style="172" customWidth="1"/>
    <col min="13830" max="13830" width="47.19921875" style="172" customWidth="1"/>
    <col min="13831" max="13831" width="10.19921875" style="172" customWidth="1"/>
    <col min="13832" max="13832" width="41.796875" style="172" customWidth="1"/>
    <col min="13833" max="13833" width="11.19921875" style="172" customWidth="1"/>
    <col min="13834" max="13834" width="10.5" style="172" customWidth="1"/>
    <col min="13835" max="13835" width="16" style="172" bestFit="1" customWidth="1"/>
    <col min="13836" max="13836" width="13.19921875" style="172" customWidth="1"/>
    <col min="13837" max="13837" width="11.796875" style="172" customWidth="1"/>
    <col min="13838" max="13838" width="9.69921875" style="172" customWidth="1"/>
    <col min="13839" max="14080" width="10.69921875" style="172"/>
    <col min="14081" max="14081" width="9" style="172" customWidth="1"/>
    <col min="14082" max="14082" width="6.296875" style="172" customWidth="1"/>
    <col min="14083" max="14083" width="33.5" style="172" bestFit="1" customWidth="1"/>
    <col min="14084" max="14084" width="45.5" style="172" bestFit="1" customWidth="1"/>
    <col min="14085" max="14085" width="8.796875" style="172" customWidth="1"/>
    <col min="14086" max="14086" width="47.19921875" style="172" customWidth="1"/>
    <col min="14087" max="14087" width="10.19921875" style="172" customWidth="1"/>
    <col min="14088" max="14088" width="41.796875" style="172" customWidth="1"/>
    <col min="14089" max="14089" width="11.19921875" style="172" customWidth="1"/>
    <col min="14090" max="14090" width="10.5" style="172" customWidth="1"/>
    <col min="14091" max="14091" width="16" style="172" bestFit="1" customWidth="1"/>
    <col min="14092" max="14092" width="13.19921875" style="172" customWidth="1"/>
    <col min="14093" max="14093" width="11.796875" style="172" customWidth="1"/>
    <col min="14094" max="14094" width="9.69921875" style="172" customWidth="1"/>
    <col min="14095" max="14336" width="10.69921875" style="172"/>
    <col min="14337" max="14337" width="9" style="172" customWidth="1"/>
    <col min="14338" max="14338" width="6.296875" style="172" customWidth="1"/>
    <col min="14339" max="14339" width="33.5" style="172" bestFit="1" customWidth="1"/>
    <col min="14340" max="14340" width="45.5" style="172" bestFit="1" customWidth="1"/>
    <col min="14341" max="14341" width="8.796875" style="172" customWidth="1"/>
    <col min="14342" max="14342" width="47.19921875" style="172" customWidth="1"/>
    <col min="14343" max="14343" width="10.19921875" style="172" customWidth="1"/>
    <col min="14344" max="14344" width="41.796875" style="172" customWidth="1"/>
    <col min="14345" max="14345" width="11.19921875" style="172" customWidth="1"/>
    <col min="14346" max="14346" width="10.5" style="172" customWidth="1"/>
    <col min="14347" max="14347" width="16" style="172" bestFit="1" customWidth="1"/>
    <col min="14348" max="14348" width="13.19921875" style="172" customWidth="1"/>
    <col min="14349" max="14349" width="11.796875" style="172" customWidth="1"/>
    <col min="14350" max="14350" width="9.69921875" style="172" customWidth="1"/>
    <col min="14351" max="14592" width="10.69921875" style="172"/>
    <col min="14593" max="14593" width="9" style="172" customWidth="1"/>
    <col min="14594" max="14594" width="6.296875" style="172" customWidth="1"/>
    <col min="14595" max="14595" width="33.5" style="172" bestFit="1" customWidth="1"/>
    <col min="14596" max="14596" width="45.5" style="172" bestFit="1" customWidth="1"/>
    <col min="14597" max="14597" width="8.796875" style="172" customWidth="1"/>
    <col min="14598" max="14598" width="47.19921875" style="172" customWidth="1"/>
    <col min="14599" max="14599" width="10.19921875" style="172" customWidth="1"/>
    <col min="14600" max="14600" width="41.796875" style="172" customWidth="1"/>
    <col min="14601" max="14601" width="11.19921875" style="172" customWidth="1"/>
    <col min="14602" max="14602" width="10.5" style="172" customWidth="1"/>
    <col min="14603" max="14603" width="16" style="172" bestFit="1" customWidth="1"/>
    <col min="14604" max="14604" width="13.19921875" style="172" customWidth="1"/>
    <col min="14605" max="14605" width="11.796875" style="172" customWidth="1"/>
    <col min="14606" max="14606" width="9.69921875" style="172" customWidth="1"/>
    <col min="14607" max="14848" width="10.69921875" style="172"/>
    <col min="14849" max="14849" width="9" style="172" customWidth="1"/>
    <col min="14850" max="14850" width="6.296875" style="172" customWidth="1"/>
    <col min="14851" max="14851" width="33.5" style="172" bestFit="1" customWidth="1"/>
    <col min="14852" max="14852" width="45.5" style="172" bestFit="1" customWidth="1"/>
    <col min="14853" max="14853" width="8.796875" style="172" customWidth="1"/>
    <col min="14854" max="14854" width="47.19921875" style="172" customWidth="1"/>
    <col min="14855" max="14855" width="10.19921875" style="172" customWidth="1"/>
    <col min="14856" max="14856" width="41.796875" style="172" customWidth="1"/>
    <col min="14857" max="14857" width="11.19921875" style="172" customWidth="1"/>
    <col min="14858" max="14858" width="10.5" style="172" customWidth="1"/>
    <col min="14859" max="14859" width="16" style="172" bestFit="1" customWidth="1"/>
    <col min="14860" max="14860" width="13.19921875" style="172" customWidth="1"/>
    <col min="14861" max="14861" width="11.796875" style="172" customWidth="1"/>
    <col min="14862" max="14862" width="9.69921875" style="172" customWidth="1"/>
    <col min="14863" max="15104" width="10.69921875" style="172"/>
    <col min="15105" max="15105" width="9" style="172" customWidth="1"/>
    <col min="15106" max="15106" width="6.296875" style="172" customWidth="1"/>
    <col min="15107" max="15107" width="33.5" style="172" bestFit="1" customWidth="1"/>
    <col min="15108" max="15108" width="45.5" style="172" bestFit="1" customWidth="1"/>
    <col min="15109" max="15109" width="8.796875" style="172" customWidth="1"/>
    <col min="15110" max="15110" width="47.19921875" style="172" customWidth="1"/>
    <col min="15111" max="15111" width="10.19921875" style="172" customWidth="1"/>
    <col min="15112" max="15112" width="41.796875" style="172" customWidth="1"/>
    <col min="15113" max="15113" width="11.19921875" style="172" customWidth="1"/>
    <col min="15114" max="15114" width="10.5" style="172" customWidth="1"/>
    <col min="15115" max="15115" width="16" style="172" bestFit="1" customWidth="1"/>
    <col min="15116" max="15116" width="13.19921875" style="172" customWidth="1"/>
    <col min="15117" max="15117" width="11.796875" style="172" customWidth="1"/>
    <col min="15118" max="15118" width="9.69921875" style="172" customWidth="1"/>
    <col min="15119" max="15360" width="10.69921875" style="172"/>
    <col min="15361" max="15361" width="9" style="172" customWidth="1"/>
    <col min="15362" max="15362" width="6.296875" style="172" customWidth="1"/>
    <col min="15363" max="15363" width="33.5" style="172" bestFit="1" customWidth="1"/>
    <col min="15364" max="15364" width="45.5" style="172" bestFit="1" customWidth="1"/>
    <col min="15365" max="15365" width="8.796875" style="172" customWidth="1"/>
    <col min="15366" max="15366" width="47.19921875" style="172" customWidth="1"/>
    <col min="15367" max="15367" width="10.19921875" style="172" customWidth="1"/>
    <col min="15368" max="15368" width="41.796875" style="172" customWidth="1"/>
    <col min="15369" max="15369" width="11.19921875" style="172" customWidth="1"/>
    <col min="15370" max="15370" width="10.5" style="172" customWidth="1"/>
    <col min="15371" max="15371" width="16" style="172" bestFit="1" customWidth="1"/>
    <col min="15372" max="15372" width="13.19921875" style="172" customWidth="1"/>
    <col min="15373" max="15373" width="11.796875" style="172" customWidth="1"/>
    <col min="15374" max="15374" width="9.69921875" style="172" customWidth="1"/>
    <col min="15375" max="15616" width="10.69921875" style="172"/>
    <col min="15617" max="15617" width="9" style="172" customWidth="1"/>
    <col min="15618" max="15618" width="6.296875" style="172" customWidth="1"/>
    <col min="15619" max="15619" width="33.5" style="172" bestFit="1" customWidth="1"/>
    <col min="15620" max="15620" width="45.5" style="172" bestFit="1" customWidth="1"/>
    <col min="15621" max="15621" width="8.796875" style="172" customWidth="1"/>
    <col min="15622" max="15622" width="47.19921875" style="172" customWidth="1"/>
    <col min="15623" max="15623" width="10.19921875" style="172" customWidth="1"/>
    <col min="15624" max="15624" width="41.796875" style="172" customWidth="1"/>
    <col min="15625" max="15625" width="11.19921875" style="172" customWidth="1"/>
    <col min="15626" max="15626" width="10.5" style="172" customWidth="1"/>
    <col min="15627" max="15627" width="16" style="172" bestFit="1" customWidth="1"/>
    <col min="15628" max="15628" width="13.19921875" style="172" customWidth="1"/>
    <col min="15629" max="15629" width="11.796875" style="172" customWidth="1"/>
    <col min="15630" max="15630" width="9.69921875" style="172" customWidth="1"/>
    <col min="15631" max="15872" width="10.69921875" style="172"/>
    <col min="15873" max="15873" width="9" style="172" customWidth="1"/>
    <col min="15874" max="15874" width="6.296875" style="172" customWidth="1"/>
    <col min="15875" max="15875" width="33.5" style="172" bestFit="1" customWidth="1"/>
    <col min="15876" max="15876" width="45.5" style="172" bestFit="1" customWidth="1"/>
    <col min="15877" max="15877" width="8.796875" style="172" customWidth="1"/>
    <col min="15878" max="15878" width="47.19921875" style="172" customWidth="1"/>
    <col min="15879" max="15879" width="10.19921875" style="172" customWidth="1"/>
    <col min="15880" max="15880" width="41.796875" style="172" customWidth="1"/>
    <col min="15881" max="15881" width="11.19921875" style="172" customWidth="1"/>
    <col min="15882" max="15882" width="10.5" style="172" customWidth="1"/>
    <col min="15883" max="15883" width="16" style="172" bestFit="1" customWidth="1"/>
    <col min="15884" max="15884" width="13.19921875" style="172" customWidth="1"/>
    <col min="15885" max="15885" width="11.796875" style="172" customWidth="1"/>
    <col min="15886" max="15886" width="9.69921875" style="172" customWidth="1"/>
    <col min="15887" max="16128" width="10.69921875" style="172"/>
    <col min="16129" max="16129" width="9" style="172" customWidth="1"/>
    <col min="16130" max="16130" width="6.296875" style="172" customWidth="1"/>
    <col min="16131" max="16131" width="33.5" style="172" bestFit="1" customWidth="1"/>
    <col min="16132" max="16132" width="45.5" style="172" bestFit="1" customWidth="1"/>
    <col min="16133" max="16133" width="8.796875" style="172" customWidth="1"/>
    <col min="16134" max="16134" width="47.19921875" style="172" customWidth="1"/>
    <col min="16135" max="16135" width="10.19921875" style="172" customWidth="1"/>
    <col min="16136" max="16136" width="41.796875" style="172" customWidth="1"/>
    <col min="16137" max="16137" width="11.19921875" style="172" customWidth="1"/>
    <col min="16138" max="16138" width="10.5" style="172" customWidth="1"/>
    <col min="16139" max="16139" width="16" style="172" bestFit="1" customWidth="1"/>
    <col min="16140" max="16140" width="13.19921875" style="172" customWidth="1"/>
    <col min="16141" max="16141" width="11.796875" style="172" customWidth="1"/>
    <col min="16142" max="16142" width="9.69921875" style="172" customWidth="1"/>
    <col min="16143" max="16384" width="10.69921875" style="172"/>
  </cols>
  <sheetData>
    <row r="1" spans="1:27" ht="14.25" customHeight="1" x14ac:dyDescent="0.35">
      <c r="A1" s="171"/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200"/>
      <c r="U1" s="200"/>
      <c r="V1" s="200"/>
      <c r="W1" s="200"/>
      <c r="X1" s="200"/>
    </row>
    <row r="2" spans="1:27" ht="14.25" customHeight="1" x14ac:dyDescent="0.35">
      <c r="A2" s="173" t="s">
        <v>557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201"/>
      <c r="U2" s="201"/>
      <c r="V2" s="201"/>
      <c r="W2" s="201"/>
      <c r="X2" s="201"/>
    </row>
    <row r="3" spans="1:27" ht="14.25" customHeight="1" x14ac:dyDescent="0.35">
      <c r="A3" s="171"/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200"/>
      <c r="U3" s="200"/>
      <c r="V3" s="200"/>
      <c r="W3" s="200"/>
      <c r="X3" s="200"/>
    </row>
    <row r="4" spans="1:27" ht="15.5" x14ac:dyDescent="0.35">
      <c r="A4" s="174" t="s">
        <v>43</v>
      </c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5"/>
      <c r="M4" s="175"/>
      <c r="N4" s="174" t="s">
        <v>1</v>
      </c>
      <c r="P4" s="199"/>
      <c r="Q4" s="199"/>
      <c r="R4" s="199"/>
      <c r="S4" s="202" t="s">
        <v>166</v>
      </c>
      <c r="U4" s="199"/>
      <c r="V4" s="199"/>
      <c r="W4" s="199"/>
      <c r="X4" s="199"/>
    </row>
    <row r="5" spans="1:27" x14ac:dyDescent="0.35">
      <c r="A5" s="176" t="s">
        <v>190</v>
      </c>
      <c r="B5" s="176" t="s">
        <v>191</v>
      </c>
      <c r="C5" s="176" t="s">
        <v>192</v>
      </c>
      <c r="D5" s="176" t="s">
        <v>193</v>
      </c>
      <c r="E5" s="176" t="s">
        <v>194</v>
      </c>
      <c r="F5" s="176" t="s">
        <v>227</v>
      </c>
      <c r="G5" s="176" t="s">
        <v>196</v>
      </c>
      <c r="H5" s="176" t="s">
        <v>197</v>
      </c>
      <c r="I5" s="176" t="s">
        <v>198</v>
      </c>
      <c r="J5" s="176" t="s">
        <v>2</v>
      </c>
      <c r="K5" s="177" t="s">
        <v>199</v>
      </c>
      <c r="L5" s="178" t="s">
        <v>214</v>
      </c>
      <c r="M5" s="178" t="s">
        <v>217</v>
      </c>
      <c r="N5" s="178" t="s">
        <v>254</v>
      </c>
      <c r="O5" s="178" t="s">
        <v>218</v>
      </c>
      <c r="P5" s="178" t="s">
        <v>219</v>
      </c>
      <c r="Q5" s="198" t="s">
        <v>228</v>
      </c>
      <c r="R5" s="198" t="s">
        <v>229</v>
      </c>
      <c r="S5" s="198" t="s">
        <v>255</v>
      </c>
      <c r="T5" s="198" t="s">
        <v>230</v>
      </c>
      <c r="U5" s="198" t="s">
        <v>231</v>
      </c>
      <c r="W5" s="172" t="s">
        <v>354</v>
      </c>
    </row>
    <row r="6" spans="1:27" x14ac:dyDescent="0.35">
      <c r="A6" s="186">
        <v>1</v>
      </c>
      <c r="B6" s="176">
        <v>2</v>
      </c>
      <c r="C6" s="280" t="s">
        <v>447</v>
      </c>
      <c r="D6" s="179" t="s">
        <v>449</v>
      </c>
      <c r="E6" s="179" t="s">
        <v>432</v>
      </c>
      <c r="F6" s="179" t="s">
        <v>452</v>
      </c>
      <c r="G6" s="179" t="s">
        <v>432</v>
      </c>
      <c r="H6" s="179" t="s">
        <v>413</v>
      </c>
      <c r="I6" s="180" t="s">
        <v>200</v>
      </c>
      <c r="J6" s="180">
        <v>1</v>
      </c>
      <c r="K6" s="181"/>
      <c r="L6" s="183" t="str">
        <f>IF(AND(E6="M",Tabla15612172227[[#This Row],[POS]]&lt;&gt;"AB",Tabla15612172227[[#This Row],[POS]]&lt;&gt;"DSQ"),COUNTIF($E$6:E6,"M"),"")</f>
        <v/>
      </c>
      <c r="M6" s="183" t="str">
        <f>IF(E6="M",IF(Tabla15612172227[[#This Row],[Tiempo]]="AB","",LOOKUP(Tabla15612172227[[#This Row],[CLAS SCRATCH]],'Datos puntos'!$A$2:$A$23,'Datos puntos'!$B$2:$B$23)),"")</f>
        <v/>
      </c>
      <c r="N6" s="183" t="str">
        <f>IF(AND(E6="M",Tabla15612172227[[#This Row],[POS]]&lt;&gt;"AB",Tabla15612172227[[#This Row],[POS]]&lt;&gt;"DSQ"),COUNTIFS($J$6:J6,Tabla15612172227[[#This Row],[Clase]],$E$6:E6,"M"),"")</f>
        <v/>
      </c>
      <c r="O6" s="183" t="str">
        <f>IF(E6="M",IF(Tabla15612172227[[#This Row],[Tiempo]]="AB","",LOOKUP(Tabla15612172227[[#This Row],[CLAS CLASE]],'Datos puntos'!$A$25:$A$53,'Datos puntos'!$B$25:$B$53)),"")</f>
        <v/>
      </c>
      <c r="P6" s="183" t="str">
        <f>IF(Tabla15612172227[[#This Row],[Puntos scratch]]="","NO PUNTÚA",SUM(Tabla15612172227[[#This Row],[Puntos scratch]],Tabla15612172227[[#This Row],[Puntos clase]])*2)</f>
        <v>NO PUNTÚA</v>
      </c>
      <c r="Q6" s="183" t="str">
        <f>IF(AND(G6="M",Tabla15612172227[[#This Row],[POS]]&lt;&gt;"AB",Tabla15612172227[[#This Row],[POS]]&lt;&gt;"DSQ"),COUNTIF($G$6:G6,"M"),"")</f>
        <v/>
      </c>
      <c r="R6" s="183" t="str">
        <f>IF(G6="M",IF(Tabla15612172227[[#This Row],[Tiempo]]="AB","",LOOKUP(Tabla15612172227[[#This Row],[CLAS SCRATCH2]],'Datos puntos'!$A$2:$A$23,'Datos puntos'!$B$2:$B$23)),"")</f>
        <v/>
      </c>
      <c r="S6" s="183" t="str">
        <f>IF(AND(G6="M",Tabla15612172227[[#This Row],[POS]]&lt;&gt;"AB",Tabla15612172227[[#This Row],[POS]]&lt;&gt;"DSQ"),COUNTIFS($J$6:J6,Tabla15612172227[[#This Row],[Clase]],$G$6:G6,"M"),"")</f>
        <v/>
      </c>
      <c r="T6" s="183" t="str">
        <f>IF(G6="M",IF(Tabla15612172227[[#This Row],[Tiempo]]="AB","",LOOKUP(Tabla15612172227[[#This Row],[CLAS CLASE2]],'Datos puntos'!$A$25:$A$53,'Datos puntos'!$B$25:$B$53)),"")</f>
        <v/>
      </c>
      <c r="U6" s="183" t="str">
        <f>IF(Tabla15612172227[[#This Row],[Puntos scratch3]]="","NO PUNTÚA",SUM(Tabla15612172227[[#This Row],[Puntos scratch3]],Tabla15612172227[[#This Row],[Puntos clase5]])*2)</f>
        <v>NO PUNTÚA</v>
      </c>
      <c r="W6" s="241">
        <v>20</v>
      </c>
      <c r="X6" s="250" t="s">
        <v>232</v>
      </c>
      <c r="Z6" s="250" t="s">
        <v>232</v>
      </c>
      <c r="AA6" s="185">
        <v>45</v>
      </c>
    </row>
    <row r="7" spans="1:27" s="185" customFormat="1" x14ac:dyDescent="0.35">
      <c r="A7" s="176">
        <v>2</v>
      </c>
      <c r="B7" s="176">
        <v>5</v>
      </c>
      <c r="C7" s="179" t="s">
        <v>361</v>
      </c>
      <c r="D7" s="179" t="s">
        <v>364</v>
      </c>
      <c r="E7" s="179" t="s">
        <v>168</v>
      </c>
      <c r="F7" s="179" t="s">
        <v>453</v>
      </c>
      <c r="G7" s="179" t="s">
        <v>405</v>
      </c>
      <c r="H7" s="179" t="s">
        <v>294</v>
      </c>
      <c r="I7" s="180" t="s">
        <v>200</v>
      </c>
      <c r="J7" s="180">
        <v>1</v>
      </c>
      <c r="K7" s="181"/>
      <c r="L7" s="183">
        <f>IF(AND(E7="M",Tabla15612172227[[#This Row],[POS]]&lt;&gt;"AB",Tabla15612172227[[#This Row],[POS]]&lt;&gt;"DSQ"),COUNTIF($E$6:E7,"M"),"")</f>
        <v>1</v>
      </c>
      <c r="M7" s="183">
        <f>IF(E7="M",IF(Tabla15612172227[[#This Row],[Tiempo]]="AB","",LOOKUP(Tabla15612172227[[#This Row],[CLAS SCRATCH]],'Datos puntos'!$A$2:$A$23,'Datos puntos'!$B$2:$B$23)),"")</f>
        <v>25</v>
      </c>
      <c r="N7" s="183">
        <f>IF(AND(E7="M",Tabla15612172227[[#This Row],[POS]]&lt;&gt;"AB",Tabla15612172227[[#This Row],[POS]]&lt;&gt;"DSQ"),COUNTIFS($J$6:J7,Tabla15612172227[[#This Row],[Clase]],$E$6:E7,"M"),"")</f>
        <v>1</v>
      </c>
      <c r="O7" s="183">
        <f>IF(E7="M",IF(Tabla15612172227[[#This Row],[Tiempo]]="AB","",LOOKUP(Tabla15612172227[[#This Row],[CLAS CLASE]],'Datos puntos'!$A$25:$A$53,'Datos puntos'!$B$25:$B$53)),"")</f>
        <v>10</v>
      </c>
      <c r="P7" s="183">
        <f>IF(Tabla15612172227[[#This Row],[Puntos scratch]]="","NO PUNTÚA",SUM(Tabla15612172227[[#This Row],[Puntos scratch]],Tabla15612172227[[#This Row],[Puntos clase]])*2)</f>
        <v>70</v>
      </c>
      <c r="Q7" s="183" t="str">
        <f>IF(AND(G7="M",Tabla15612172227[[#This Row],[POS]]&lt;&gt;"AB",Tabla15612172227[[#This Row],[POS]]&lt;&gt;"DSQ"),COUNTIF($G$6:G7,"M"),"")</f>
        <v/>
      </c>
      <c r="R7" s="183" t="str">
        <f>IF(G7="M",IF(Tabla15612172227[[#This Row],[Tiempo]]="AB","",LOOKUP(Tabla15612172227[[#This Row],[CLAS SCRATCH2]],'Datos puntos'!$A$2:$A$23,'Datos puntos'!$B$2:$B$23)),"")</f>
        <v/>
      </c>
      <c r="S7" s="183" t="str">
        <f>IF(AND(G7="M",Tabla15612172227[[#This Row],[POS]]&lt;&gt;"AB",Tabla15612172227[[#This Row],[POS]]&lt;&gt;"DSQ"),COUNTIFS($J$6:J7,Tabla15612172227[[#This Row],[Clase]],$G$6:G7,"M"),"")</f>
        <v/>
      </c>
      <c r="T7" s="183" t="str">
        <f>IF(G7="M",IF(Tabla15612172227[[#This Row],[Tiempo]]="AB","",LOOKUP(Tabla15612172227[[#This Row],[CLAS CLASE2]],'Datos puntos'!$A$25:$A$53,'Datos puntos'!$B$25:$B$53)),"")</f>
        <v/>
      </c>
      <c r="U7" s="183" t="str">
        <f>IF(Tabla15612172227[[#This Row],[Puntos scratch3]]="","NO PUNTÚA",SUM(Tabla15612172227[[#This Row],[Puntos scratch3]],Tabla15612172227[[#This Row],[Puntos clase5]])*2)</f>
        <v>NO PUNTÚA</v>
      </c>
      <c r="W7" s="241">
        <v>17</v>
      </c>
      <c r="X7" s="250" t="s">
        <v>232</v>
      </c>
      <c r="Z7" s="253" t="s">
        <v>189</v>
      </c>
      <c r="AA7" s="172">
        <v>20</v>
      </c>
    </row>
    <row r="8" spans="1:27" x14ac:dyDescent="0.35">
      <c r="A8" s="176">
        <v>3</v>
      </c>
      <c r="B8" s="176">
        <v>1</v>
      </c>
      <c r="C8" s="268" t="s">
        <v>401</v>
      </c>
      <c r="D8" s="179" t="s">
        <v>225</v>
      </c>
      <c r="E8" s="179" t="s">
        <v>168</v>
      </c>
      <c r="F8" s="179" t="s">
        <v>233</v>
      </c>
      <c r="G8" s="179" t="s">
        <v>168</v>
      </c>
      <c r="H8" s="179" t="s">
        <v>418</v>
      </c>
      <c r="I8" s="180" t="s">
        <v>200</v>
      </c>
      <c r="J8" s="180">
        <v>1</v>
      </c>
      <c r="K8" s="181"/>
      <c r="L8" s="183">
        <f>IF(AND(E8="M",Tabla15612172227[[#This Row],[POS]]&lt;&gt;"AB",Tabla15612172227[[#This Row],[POS]]&lt;&gt;"DSQ"),COUNTIF($E$6:E8,"M"),"")</f>
        <v>2</v>
      </c>
      <c r="M8" s="183">
        <f>IF(E8="M",IF(Tabla15612172227[[#This Row],[Tiempo]]="AB","",LOOKUP(Tabla15612172227[[#This Row],[CLAS SCRATCH]],'Datos puntos'!$A$2:$A$23,'Datos puntos'!$B$2:$B$23)),"")</f>
        <v>20</v>
      </c>
      <c r="N8" s="183">
        <f>IF(AND(E8="M",Tabla15612172227[[#This Row],[POS]]&lt;&gt;"AB",Tabla15612172227[[#This Row],[POS]]&lt;&gt;"DSQ"),COUNTIFS($J$6:J8,Tabla15612172227[[#This Row],[Clase]],$E$6:E8,"M"),"")</f>
        <v>2</v>
      </c>
      <c r="O8" s="183">
        <f>IF(E8="M",IF(Tabla15612172227[[#This Row],[Tiempo]]="AB","",LOOKUP(Tabla15612172227[[#This Row],[CLAS CLASE]],'Datos puntos'!$A$25:$A$53,'Datos puntos'!$B$25:$B$53)),"")</f>
        <v>8</v>
      </c>
      <c r="P8" s="183">
        <f>IF(Tabla15612172227[[#This Row],[Puntos scratch]]="","NO PUNTÚA",SUM(Tabla15612172227[[#This Row],[Puntos scratch]],Tabla15612172227[[#This Row],[Puntos clase]])*2)</f>
        <v>56</v>
      </c>
      <c r="Q8" s="183">
        <f>IF(AND(G8="M",Tabla15612172227[[#This Row],[POS]]&lt;&gt;"AB",Tabla15612172227[[#This Row],[POS]]&lt;&gt;"DSQ"),COUNTIF($G$6:G8,"M"),"")</f>
        <v>1</v>
      </c>
      <c r="R8" s="183">
        <f>IF(G8="M",IF(Tabla15612172227[[#This Row],[Tiempo]]="AB","",LOOKUP(Tabla15612172227[[#This Row],[CLAS SCRATCH2]],'Datos puntos'!$A$2:$A$23,'Datos puntos'!$B$2:$B$23)),"")</f>
        <v>25</v>
      </c>
      <c r="S8" s="183">
        <f>IF(AND(G8="M",Tabla15612172227[[#This Row],[POS]]&lt;&gt;"AB",Tabla15612172227[[#This Row],[POS]]&lt;&gt;"DSQ"),COUNTIFS($J$6:J8,Tabla15612172227[[#This Row],[Clase]],$G$6:G8,"M"),"")</f>
        <v>1</v>
      </c>
      <c r="T8" s="183">
        <f>IF(G8="M",IF(Tabla15612172227[[#This Row],[Tiempo]]="AB","",LOOKUP(Tabla15612172227[[#This Row],[CLAS CLASE2]],'Datos puntos'!$A$25:$A$53,'Datos puntos'!$B$25:$B$53)),"")</f>
        <v>10</v>
      </c>
      <c r="U8" s="183">
        <f>IF(Tabla15612172227[[#This Row],[Puntos scratch3]]="","NO PUNTÚA",SUM(Tabla15612172227[[#This Row],[Puntos scratch3]],Tabla15612172227[[#This Row],[Puntos clase5]])*2)</f>
        <v>70</v>
      </c>
      <c r="W8" s="241">
        <v>14</v>
      </c>
      <c r="X8" s="253" t="s">
        <v>189</v>
      </c>
      <c r="Z8" s="251" t="s">
        <v>175</v>
      </c>
      <c r="AA8" s="172">
        <v>12</v>
      </c>
    </row>
    <row r="9" spans="1:27" x14ac:dyDescent="0.35">
      <c r="A9" s="176">
        <v>4</v>
      </c>
      <c r="B9" s="176">
        <v>6</v>
      </c>
      <c r="C9" s="250" t="s">
        <v>232</v>
      </c>
      <c r="D9" s="179" t="s">
        <v>295</v>
      </c>
      <c r="E9" s="179" t="s">
        <v>168</v>
      </c>
      <c r="F9" s="179" t="s">
        <v>240</v>
      </c>
      <c r="G9" s="179" t="s">
        <v>168</v>
      </c>
      <c r="H9" s="179" t="s">
        <v>170</v>
      </c>
      <c r="I9" s="180" t="s">
        <v>24</v>
      </c>
      <c r="J9" s="180">
        <v>2</v>
      </c>
      <c r="K9" s="181"/>
      <c r="L9" s="183">
        <f>IF(AND(E9="M",Tabla15612172227[[#This Row],[POS]]&lt;&gt;"AB",Tabla15612172227[[#This Row],[POS]]&lt;&gt;"DSQ"),COUNTIF($E$6:E9,"M"),"")</f>
        <v>3</v>
      </c>
      <c r="M9" s="183">
        <f>IF(E9="M",IF(Tabla15612172227[[#This Row],[Tiempo]]="AB","",LOOKUP(Tabla15612172227[[#This Row],[CLAS SCRATCH]],'Datos puntos'!$A$2:$A$23,'Datos puntos'!$B$2:$B$23)),"")</f>
        <v>17</v>
      </c>
      <c r="N9" s="183">
        <f>IF(AND(E9="M",Tabla15612172227[[#This Row],[POS]]&lt;&gt;"AB",Tabla15612172227[[#This Row],[POS]]&lt;&gt;"DSQ"),COUNTIFS($J$6:J9,Tabla15612172227[[#This Row],[Clase]],$E$6:E9,"M"),"")</f>
        <v>1</v>
      </c>
      <c r="O9" s="183">
        <f>IF(E9="M",IF(Tabla15612172227[[#This Row],[Tiempo]]="AB","",LOOKUP(Tabla15612172227[[#This Row],[CLAS CLASE]],'Datos puntos'!$A$25:$A$53,'Datos puntos'!$B$25:$B$53)),"")</f>
        <v>10</v>
      </c>
      <c r="P9" s="183">
        <f>IF(Tabla15612172227[[#This Row],[Puntos scratch]]="","NO PUNTÚA",SUM(Tabla15612172227[[#This Row],[Puntos scratch]],Tabla15612172227[[#This Row],[Puntos clase]])*2)</f>
        <v>54</v>
      </c>
      <c r="Q9" s="183">
        <f>IF(AND(G9="M",Tabla15612172227[[#This Row],[POS]]&lt;&gt;"AB",Tabla15612172227[[#This Row],[POS]]&lt;&gt;"DSQ"),COUNTIF($G$6:G9,"M"),"")</f>
        <v>2</v>
      </c>
      <c r="R9" s="183">
        <f>IF(G9="M",IF(Tabla15612172227[[#This Row],[Tiempo]]="AB","",LOOKUP(Tabla15612172227[[#This Row],[CLAS SCRATCH2]],'Datos puntos'!$A$2:$A$23,'Datos puntos'!$B$2:$B$23)),"")</f>
        <v>20</v>
      </c>
      <c r="S9" s="183">
        <f>IF(AND(G9="M",Tabla15612172227[[#This Row],[POS]]&lt;&gt;"AB",Tabla15612172227[[#This Row],[POS]]&lt;&gt;"DSQ"),COUNTIFS($J$6:J9,Tabla15612172227[[#This Row],[Clase]],$G$6:G9,"M"),"")</f>
        <v>1</v>
      </c>
      <c r="T9" s="183">
        <f>IF(G9="M",IF(Tabla15612172227[[#This Row],[Tiempo]]="AB","",LOOKUP(Tabla15612172227[[#This Row],[CLAS CLASE2]],'Datos puntos'!$A$25:$A$53,'Datos puntos'!$B$25:$B$53)),"")</f>
        <v>10</v>
      </c>
      <c r="U9" s="183">
        <f>IF(Tabla15612172227[[#This Row],[Puntos scratch3]]="","NO PUNTÚA",SUM(Tabla15612172227[[#This Row],[Puntos scratch3]],Tabla15612172227[[#This Row],[Puntos clase5]])*2)</f>
        <v>60</v>
      </c>
      <c r="W9" s="241">
        <v>12</v>
      </c>
      <c r="X9" s="251" t="s">
        <v>175</v>
      </c>
      <c r="Z9" s="292" t="s">
        <v>172</v>
      </c>
      <c r="AA9" s="172">
        <v>11</v>
      </c>
    </row>
    <row r="10" spans="1:27" x14ac:dyDescent="0.35">
      <c r="A10" s="176">
        <v>5</v>
      </c>
      <c r="B10" s="176">
        <v>7</v>
      </c>
      <c r="C10" s="250" t="s">
        <v>232</v>
      </c>
      <c r="D10" s="179" t="s">
        <v>226</v>
      </c>
      <c r="E10" s="179" t="s">
        <v>168</v>
      </c>
      <c r="F10" s="179" t="s">
        <v>237</v>
      </c>
      <c r="G10" s="179" t="s">
        <v>168</v>
      </c>
      <c r="H10" s="179" t="s">
        <v>170</v>
      </c>
      <c r="I10" s="180" t="s">
        <v>24</v>
      </c>
      <c r="J10" s="180">
        <v>2</v>
      </c>
      <c r="K10" s="181"/>
      <c r="L10" s="183">
        <f>IF(AND(E10="M",Tabla15612172227[[#This Row],[POS]]&lt;&gt;"AB",Tabla15612172227[[#This Row],[POS]]&lt;&gt;"DSQ"),COUNTIF($E$6:E10,"M"),"")</f>
        <v>4</v>
      </c>
      <c r="M10" s="183">
        <f>IF(E10="M",IF(Tabla15612172227[[#This Row],[Tiempo]]="AB","",LOOKUP(Tabla15612172227[[#This Row],[CLAS SCRATCH]],'Datos puntos'!$A$2:$A$23,'Datos puntos'!$B$2:$B$23)),"")</f>
        <v>15</v>
      </c>
      <c r="N10" s="183">
        <f>IF(AND(E10="M",Tabla15612172227[[#This Row],[POS]]&lt;&gt;"AB",Tabla15612172227[[#This Row],[POS]]&lt;&gt;"DSQ"),COUNTIFS($J$6:J10,Tabla15612172227[[#This Row],[Clase]],$E$6:E10,"M"),"")</f>
        <v>2</v>
      </c>
      <c r="O10" s="183">
        <f>IF(E10="M",IF(Tabla15612172227[[#This Row],[Tiempo]]="AB","",LOOKUP(Tabla15612172227[[#This Row],[CLAS CLASE]],'Datos puntos'!$A$25:$A$53,'Datos puntos'!$B$25:$B$53)),"")</f>
        <v>8</v>
      </c>
      <c r="P10" s="183">
        <f>IF(Tabla15612172227[[#This Row],[Puntos scratch]]="","NO PUNTÚA",SUM(Tabla15612172227[[#This Row],[Puntos scratch]],Tabla15612172227[[#This Row],[Puntos clase]])*2)</f>
        <v>46</v>
      </c>
      <c r="Q10" s="183">
        <f>IF(AND(G10="M",Tabla15612172227[[#This Row],[POS]]&lt;&gt;"AB",Tabla15612172227[[#This Row],[POS]]&lt;&gt;"DSQ"),COUNTIF($G$6:G10,"M"),"")</f>
        <v>3</v>
      </c>
      <c r="R10" s="183">
        <f>IF(G10="M",IF(Tabla15612172227[[#This Row],[Tiempo]]="AB","",LOOKUP(Tabla15612172227[[#This Row],[CLAS SCRATCH2]],'Datos puntos'!$A$2:$A$23,'Datos puntos'!$B$2:$B$23)),"")</f>
        <v>17</v>
      </c>
      <c r="S10" s="183">
        <f>IF(AND(G10="M",Tabla15612172227[[#This Row],[POS]]&lt;&gt;"AB",Tabla15612172227[[#This Row],[POS]]&lt;&gt;"DSQ"),COUNTIFS($J$6:J10,Tabla15612172227[[#This Row],[Clase]],$G$6:G10,"M"),"")</f>
        <v>2</v>
      </c>
      <c r="T10" s="183">
        <f>IF(G10="M",IF(Tabla15612172227[[#This Row],[Tiempo]]="AB","",LOOKUP(Tabla15612172227[[#This Row],[CLAS CLASE2]],'Datos puntos'!$A$25:$A$53,'Datos puntos'!$B$25:$B$53)),"")</f>
        <v>8</v>
      </c>
      <c r="U10" s="183">
        <f>IF(Tabla15612172227[[#This Row],[Puntos scratch3]]="","NO PUNTÚA",SUM(Tabla15612172227[[#This Row],[Puntos scratch3]],Tabla15612172227[[#This Row],[Puntos clase5]])*2)</f>
        <v>50</v>
      </c>
      <c r="W10" s="241">
        <v>10</v>
      </c>
      <c r="X10" s="292" t="s">
        <v>362</v>
      </c>
      <c r="Z10" s="298" t="s">
        <v>299</v>
      </c>
      <c r="AA10" s="172">
        <v>5</v>
      </c>
    </row>
    <row r="11" spans="1:27" x14ac:dyDescent="0.35">
      <c r="A11" s="176">
        <v>6</v>
      </c>
      <c r="B11" s="176">
        <v>15</v>
      </c>
      <c r="C11" s="253" t="s">
        <v>189</v>
      </c>
      <c r="D11" s="179" t="s">
        <v>249</v>
      </c>
      <c r="E11" s="179" t="s">
        <v>168</v>
      </c>
      <c r="F11" s="179" t="s">
        <v>251</v>
      </c>
      <c r="G11" s="179" t="s">
        <v>168</v>
      </c>
      <c r="H11" s="179" t="s">
        <v>239</v>
      </c>
      <c r="I11" s="180" t="s">
        <v>24</v>
      </c>
      <c r="J11" s="180">
        <v>2</v>
      </c>
      <c r="K11" s="181"/>
      <c r="L11" s="183">
        <f>IF(AND(E11="M",Tabla15612172227[[#This Row],[POS]]&lt;&gt;"AB",Tabla15612172227[[#This Row],[POS]]&lt;&gt;"DSQ"),COUNTIF($E$6:E11,"M"),"")</f>
        <v>5</v>
      </c>
      <c r="M11" s="183">
        <f>IF(E11="M",IF(Tabla15612172227[[#This Row],[Tiempo]]="AB","",LOOKUP(Tabla15612172227[[#This Row],[CLAS SCRATCH]],'Datos puntos'!$A$2:$A$23,'Datos puntos'!$B$2:$B$23)),"")</f>
        <v>12</v>
      </c>
      <c r="N11" s="183">
        <f>IF(AND(E11="M",Tabla15612172227[[#This Row],[POS]]&lt;&gt;"AB",Tabla15612172227[[#This Row],[POS]]&lt;&gt;"DSQ"),COUNTIFS($J$6:J11,Tabla15612172227[[#This Row],[Clase]],$E$6:E11,"M"),"")</f>
        <v>3</v>
      </c>
      <c r="O11" s="183">
        <f>IF(E11="M",IF(Tabla15612172227[[#This Row],[Tiempo]]="AB","",LOOKUP(Tabla15612172227[[#This Row],[CLAS CLASE]],'Datos puntos'!$A$25:$A$53,'Datos puntos'!$B$25:$B$53)),"")</f>
        <v>6</v>
      </c>
      <c r="P11" s="183">
        <f>IF(Tabla15612172227[[#This Row],[Puntos scratch]]="","NO PUNTÚA",SUM(Tabla15612172227[[#This Row],[Puntos scratch]],Tabla15612172227[[#This Row],[Puntos clase]])*2)</f>
        <v>36</v>
      </c>
      <c r="Q11" s="183">
        <f>IF(AND(G11="M",Tabla15612172227[[#This Row],[POS]]&lt;&gt;"AB",Tabla15612172227[[#This Row],[POS]]&lt;&gt;"DSQ"),COUNTIF($G$6:G11,"M"),"")</f>
        <v>4</v>
      </c>
      <c r="R11" s="183">
        <f>IF(G11="M",IF(Tabla15612172227[[#This Row],[Tiempo]]="AB","",LOOKUP(Tabla15612172227[[#This Row],[CLAS SCRATCH2]],'Datos puntos'!$A$2:$A$23,'Datos puntos'!$B$2:$B$23)),"")</f>
        <v>15</v>
      </c>
      <c r="S11" s="183">
        <f>IF(AND(G11="M",Tabla15612172227[[#This Row],[POS]]&lt;&gt;"AB",Tabla15612172227[[#This Row],[POS]]&lt;&gt;"DSQ"),COUNTIFS($J$6:J11,Tabla15612172227[[#This Row],[Clase]],$G$6:G11,"M"),"")</f>
        <v>3</v>
      </c>
      <c r="T11" s="183">
        <f>IF(G11="M",IF(Tabla15612172227[[#This Row],[Tiempo]]="AB","",LOOKUP(Tabla15612172227[[#This Row],[CLAS CLASE2]],'Datos puntos'!$A$25:$A$53,'Datos puntos'!$B$25:$B$53)),"")</f>
        <v>6</v>
      </c>
      <c r="U11" s="183">
        <f>IF(Tabla15612172227[[#This Row],[Puntos scratch3]]="","NO PUNTÚA",SUM(Tabla15612172227[[#This Row],[Puntos scratch3]],Tabla15612172227[[#This Row],[Puntos clase5]])*2)</f>
        <v>42</v>
      </c>
      <c r="W11" s="241">
        <v>8</v>
      </c>
      <c r="X11" s="250" t="s">
        <v>232</v>
      </c>
      <c r="Z11" s="263" t="s">
        <v>171</v>
      </c>
      <c r="AA11" s="172">
        <v>4</v>
      </c>
    </row>
    <row r="12" spans="1:27" x14ac:dyDescent="0.35">
      <c r="A12" s="176">
        <v>7</v>
      </c>
      <c r="B12" s="176">
        <v>14</v>
      </c>
      <c r="C12" s="251" t="s">
        <v>175</v>
      </c>
      <c r="D12" s="179" t="s">
        <v>285</v>
      </c>
      <c r="E12" s="179" t="s">
        <v>168</v>
      </c>
      <c r="F12" s="179" t="s">
        <v>454</v>
      </c>
      <c r="G12" s="179" t="s">
        <v>432</v>
      </c>
      <c r="H12" s="179" t="s">
        <v>459</v>
      </c>
      <c r="I12" s="180" t="s">
        <v>24</v>
      </c>
      <c r="J12" s="180">
        <v>3</v>
      </c>
      <c r="K12" s="181"/>
      <c r="L12" s="183">
        <f>IF(AND(E12="M",Tabla15612172227[[#This Row],[POS]]&lt;&gt;"AB",Tabla15612172227[[#This Row],[POS]]&lt;&gt;"DSQ"),COUNTIF($E$6:E12,"M"),"")</f>
        <v>6</v>
      </c>
      <c r="M12" s="183">
        <f>IF(E12="M",IF(Tabla15612172227[[#This Row],[Tiempo]]="AB","",LOOKUP(Tabla15612172227[[#This Row],[CLAS SCRATCH]],'Datos puntos'!$A$2:$A$23,'Datos puntos'!$B$2:$B$23)),"")</f>
        <v>10</v>
      </c>
      <c r="N12" s="183">
        <f>IF(AND(E12="M",Tabla15612172227[[#This Row],[POS]]&lt;&gt;"AB",Tabla15612172227[[#This Row],[POS]]&lt;&gt;"DSQ"),COUNTIFS($J$6:J12,Tabla15612172227[[#This Row],[Clase]],$E$6:E12,"M"),"")</f>
        <v>1</v>
      </c>
      <c r="O12" s="183">
        <f>IF(E12="M",IF(Tabla15612172227[[#This Row],[Tiempo]]="AB","",LOOKUP(Tabla15612172227[[#This Row],[CLAS CLASE]],'Datos puntos'!$A$25:$A$53,'Datos puntos'!$B$25:$B$53)),"")</f>
        <v>10</v>
      </c>
      <c r="P12" s="183">
        <f>IF(Tabla15612172227[[#This Row],[Puntos scratch]]="","NO PUNTÚA",SUM(Tabla15612172227[[#This Row],[Puntos scratch]],Tabla15612172227[[#This Row],[Puntos clase]])*2)</f>
        <v>40</v>
      </c>
      <c r="Q12" s="183" t="str">
        <f>IF(AND(G12="M",Tabla15612172227[[#This Row],[POS]]&lt;&gt;"AB",Tabla15612172227[[#This Row],[POS]]&lt;&gt;"DSQ"),COUNTIF($G$6:G12,"M"),"")</f>
        <v/>
      </c>
      <c r="R12" s="183" t="str">
        <f>IF(G12="M",IF(Tabla15612172227[[#This Row],[Tiempo]]="AB","",LOOKUP(Tabla15612172227[[#This Row],[CLAS SCRATCH2]],'Datos puntos'!$A$2:$A$23,'Datos puntos'!$B$2:$B$23)),"")</f>
        <v/>
      </c>
      <c r="S12" s="183" t="str">
        <f>IF(AND(G12="M",Tabla15612172227[[#This Row],[POS]]&lt;&gt;"AB",Tabla15612172227[[#This Row],[POS]]&lt;&gt;"DSQ"),COUNTIFS($J$6:J12,Tabla15612172227[[#This Row],[Clase]],$G$6:G12,"M"),"")</f>
        <v/>
      </c>
      <c r="T12" s="183" t="str">
        <f>IF(G12="M",IF(Tabla15612172227[[#This Row],[Tiempo]]="AB","",LOOKUP(Tabla15612172227[[#This Row],[CLAS CLASE2]],'Datos puntos'!$A$25:$A$53,'Datos puntos'!$B$25:$B$53)),"")</f>
        <v/>
      </c>
      <c r="U12" s="183" t="str">
        <f>IF(Tabla15612172227[[#This Row],[Puntos scratch3]]="","NO PUNTÚA",SUM(Tabla15612172227[[#This Row],[Puntos scratch3]],Tabla15612172227[[#This Row],[Puntos clase5]])*2)</f>
        <v>NO PUNTÚA</v>
      </c>
      <c r="W12" s="241">
        <v>6</v>
      </c>
      <c r="X12" s="253" t="s">
        <v>189</v>
      </c>
      <c r="Z12" s="299" t="s">
        <v>330</v>
      </c>
      <c r="AA12" s="172">
        <v>2</v>
      </c>
    </row>
    <row r="13" spans="1:27" x14ac:dyDescent="0.35">
      <c r="A13" s="176">
        <v>8</v>
      </c>
      <c r="B13" s="176">
        <v>16</v>
      </c>
      <c r="C13" s="292" t="s">
        <v>362</v>
      </c>
      <c r="D13" s="179" t="s">
        <v>368</v>
      </c>
      <c r="E13" s="179" t="s">
        <v>168</v>
      </c>
      <c r="F13" s="179" t="s">
        <v>375</v>
      </c>
      <c r="G13" s="179" t="s">
        <v>168</v>
      </c>
      <c r="H13" s="179" t="s">
        <v>201</v>
      </c>
      <c r="I13" s="180" t="s">
        <v>24</v>
      </c>
      <c r="J13" s="180">
        <v>3</v>
      </c>
      <c r="K13" s="181"/>
      <c r="L13" s="183">
        <f>IF(AND(E13="M",Tabla15612172227[[#This Row],[POS]]&lt;&gt;"AB",Tabla15612172227[[#This Row],[POS]]&lt;&gt;"DSQ"),COUNTIF($E$6:E13,"M"),"")</f>
        <v>7</v>
      </c>
      <c r="M13" s="183">
        <f>IF(E13="M",IF(Tabla15612172227[[#This Row],[Tiempo]]="AB","",LOOKUP(Tabla15612172227[[#This Row],[CLAS SCRATCH]],'Datos puntos'!$A$2:$A$23,'Datos puntos'!$B$2:$B$23)),"")</f>
        <v>8</v>
      </c>
      <c r="N13" s="183">
        <f>IF(AND(E13="M",Tabla15612172227[[#This Row],[POS]]&lt;&gt;"AB",Tabla15612172227[[#This Row],[POS]]&lt;&gt;"DSQ"),COUNTIFS($J$6:J13,Tabla15612172227[[#This Row],[Clase]],$E$6:E13,"M"),"")</f>
        <v>2</v>
      </c>
      <c r="O13" s="183">
        <f>IF(E13="M",IF(Tabla15612172227[[#This Row],[Tiempo]]="AB","",LOOKUP(Tabla15612172227[[#This Row],[CLAS CLASE]],'Datos puntos'!$A$25:$A$53,'Datos puntos'!$B$25:$B$53)),"")</f>
        <v>8</v>
      </c>
      <c r="P13" s="183">
        <f>IF(Tabla15612172227[[#This Row],[Puntos scratch]]="","NO PUNTÚA",SUM(Tabla15612172227[[#This Row],[Puntos scratch]],Tabla15612172227[[#This Row],[Puntos clase]])*2)</f>
        <v>32</v>
      </c>
      <c r="Q13" s="183">
        <f>IF(AND(G13="M",Tabla15612172227[[#This Row],[POS]]&lt;&gt;"AB",Tabla15612172227[[#This Row],[POS]]&lt;&gt;"DSQ"),COUNTIF($G$6:G13,"M"),"")</f>
        <v>5</v>
      </c>
      <c r="R13" s="183">
        <f>IF(G13="M",IF(Tabla15612172227[[#This Row],[Tiempo]]="AB","",LOOKUP(Tabla15612172227[[#This Row],[CLAS SCRATCH2]],'Datos puntos'!$A$2:$A$23,'Datos puntos'!$B$2:$B$23)),"")</f>
        <v>12</v>
      </c>
      <c r="S13" s="183">
        <f>IF(AND(G13="M",Tabla15612172227[[#This Row],[POS]]&lt;&gt;"AB",Tabla15612172227[[#This Row],[POS]]&lt;&gt;"DSQ"),COUNTIFS($J$6:J13,Tabla15612172227[[#This Row],[Clase]],$G$6:G13,"M"),"")</f>
        <v>1</v>
      </c>
      <c r="T13" s="183">
        <f>IF(G13="M",IF(Tabla15612172227[[#This Row],[Tiempo]]="AB","",LOOKUP(Tabla15612172227[[#This Row],[CLAS CLASE2]],'Datos puntos'!$A$25:$A$53,'Datos puntos'!$B$25:$B$53)),"")</f>
        <v>10</v>
      </c>
      <c r="U13" s="183">
        <f>IF(Tabla15612172227[[#This Row],[Puntos scratch3]]="","NO PUNTÚA",SUM(Tabla15612172227[[#This Row],[Puntos scratch3]],Tabla15612172227[[#This Row],[Puntos clase5]])*2)</f>
        <v>44</v>
      </c>
      <c r="W13" s="241">
        <v>5</v>
      </c>
      <c r="X13" s="298" t="s">
        <v>448</v>
      </c>
      <c r="Z13" s="300" t="s">
        <v>404</v>
      </c>
      <c r="AA13" s="172">
        <v>0</v>
      </c>
    </row>
    <row r="14" spans="1:27" x14ac:dyDescent="0.35">
      <c r="A14" s="176">
        <v>9</v>
      </c>
      <c r="B14" s="176">
        <v>17</v>
      </c>
      <c r="C14" s="293" t="s">
        <v>232</v>
      </c>
      <c r="D14" s="179" t="s">
        <v>212</v>
      </c>
      <c r="E14" s="179" t="s">
        <v>168</v>
      </c>
      <c r="F14" s="179" t="s">
        <v>456</v>
      </c>
      <c r="G14" s="179" t="s">
        <v>248</v>
      </c>
      <c r="H14" s="179" t="s">
        <v>314</v>
      </c>
      <c r="I14" s="180" t="s">
        <v>24</v>
      </c>
      <c r="J14" s="180">
        <v>3</v>
      </c>
      <c r="K14" s="181"/>
      <c r="L14" s="183">
        <f>IF(AND(E14="M",Tabla15612172227[[#This Row],[POS]]&lt;&gt;"AB",Tabla15612172227[[#This Row],[POS]]&lt;&gt;"DSQ"),COUNTIF($E$6:E14,"M"),"")</f>
        <v>8</v>
      </c>
      <c r="M14" s="183">
        <f>IF(E14="M",IF(Tabla15612172227[[#This Row],[Tiempo]]="AB","",LOOKUP(Tabla15612172227[[#This Row],[CLAS SCRATCH]],'Datos puntos'!$A$2:$A$23,'Datos puntos'!$B$2:$B$23)),"")</f>
        <v>6</v>
      </c>
      <c r="N14" s="183">
        <f>IF(AND(E14="M",Tabla15612172227[[#This Row],[POS]]&lt;&gt;"AB",Tabla15612172227[[#This Row],[POS]]&lt;&gt;"DSQ"),COUNTIFS($J$6:J14,Tabla15612172227[[#This Row],[Clase]],$E$6:E14,"M"),"")</f>
        <v>3</v>
      </c>
      <c r="O14" s="183">
        <f>IF(E14="M",IF(Tabla15612172227[[#This Row],[Tiempo]]="AB","",LOOKUP(Tabla15612172227[[#This Row],[CLAS CLASE]],'Datos puntos'!$A$25:$A$53,'Datos puntos'!$B$25:$B$53)),"")</f>
        <v>6</v>
      </c>
      <c r="P14" s="183">
        <f>IF(Tabla15612172227[[#This Row],[Puntos scratch]]="","NO PUNTÚA",SUM(Tabla15612172227[[#This Row],[Puntos scratch]],Tabla15612172227[[#This Row],[Puntos clase]])*2)</f>
        <v>24</v>
      </c>
      <c r="Q14" s="183" t="str">
        <f>IF(AND(G14="M",Tabla15612172227[[#This Row],[POS]]&lt;&gt;"AB",Tabla15612172227[[#This Row],[POS]]&lt;&gt;"DSQ"),COUNTIF($G$6:G14,"M"),"")</f>
        <v/>
      </c>
      <c r="R14" s="183" t="str">
        <f>IF(G14="M",IF(Tabla15612172227[[#This Row],[Tiempo]]="AB","",LOOKUP(Tabla15612172227[[#This Row],[CLAS SCRATCH2]],'Datos puntos'!$A$2:$A$23,'Datos puntos'!$B$2:$B$23)),"")</f>
        <v/>
      </c>
      <c r="S14" s="183" t="str">
        <f>IF(AND(G14="M",Tabla15612172227[[#This Row],[POS]]&lt;&gt;"AB",Tabla15612172227[[#This Row],[POS]]&lt;&gt;"DSQ"),COUNTIFS($J$6:J14,Tabla15612172227[[#This Row],[Clase]],$G$6:G14,"M"),"")</f>
        <v/>
      </c>
      <c r="T14" s="183" t="str">
        <f>IF(G14="M",IF(Tabla15612172227[[#This Row],[Tiempo]]="AB","",LOOKUP(Tabla15612172227[[#This Row],[CLAS CLASE2]],'Datos puntos'!$A$25:$A$53,'Datos puntos'!$B$25:$B$53)),"")</f>
        <v/>
      </c>
      <c r="U14" s="183" t="str">
        <f>IF(Tabla15612172227[[#This Row],[Puntos scratch3]]="","NO PUNTÚA",SUM(Tabla15612172227[[#This Row],[Puntos scratch3]],Tabla15612172227[[#This Row],[Puntos clase5]])*2)</f>
        <v>NO PUNTÚA</v>
      </c>
      <c r="W14" s="241">
        <v>4</v>
      </c>
      <c r="X14" s="263" t="s">
        <v>171</v>
      </c>
    </row>
    <row r="15" spans="1:27" x14ac:dyDescent="0.35">
      <c r="A15" s="176">
        <v>10</v>
      </c>
      <c r="B15" s="176">
        <v>23</v>
      </c>
      <c r="C15" s="247" t="s">
        <v>189</v>
      </c>
      <c r="D15" s="179" t="s">
        <v>407</v>
      </c>
      <c r="E15" s="179" t="s">
        <v>432</v>
      </c>
      <c r="F15" s="179" t="s">
        <v>425</v>
      </c>
      <c r="G15" s="179" t="s">
        <v>432</v>
      </c>
      <c r="H15" s="179" t="s">
        <v>416</v>
      </c>
      <c r="I15" s="180" t="s">
        <v>24</v>
      </c>
      <c r="J15" s="180">
        <v>2</v>
      </c>
      <c r="K15" s="181"/>
      <c r="L15" s="183" t="str">
        <f>IF(AND(E15="M",Tabla15612172227[[#This Row],[POS]]&lt;&gt;"AB",Tabla15612172227[[#This Row],[POS]]&lt;&gt;"DSQ"),COUNTIF($E$6:E15,"M"),"")</f>
        <v/>
      </c>
      <c r="M15" s="183" t="str">
        <f>IF(E15="M",IF(Tabla15612172227[[#This Row],[Tiempo]]="AB","",LOOKUP(Tabla15612172227[[#This Row],[CLAS SCRATCH]],'Datos puntos'!$A$2:$A$23,'Datos puntos'!$B$2:$B$23)),"")</f>
        <v/>
      </c>
      <c r="N15" s="183" t="str">
        <f>IF(AND(E15="M",Tabla15612172227[[#This Row],[POS]]&lt;&gt;"AB",Tabla15612172227[[#This Row],[POS]]&lt;&gt;"DSQ"),COUNTIFS($J$6:J15,Tabla15612172227[[#This Row],[Clase]],$E$6:E15,"M"),"")</f>
        <v/>
      </c>
      <c r="O15" s="183" t="str">
        <f>IF(E15="M",IF(Tabla15612172227[[#This Row],[Tiempo]]="AB","",LOOKUP(Tabla15612172227[[#This Row],[CLAS CLASE]],'Datos puntos'!$A$25:$A$53,'Datos puntos'!$B$25:$B$53)),"")</f>
        <v/>
      </c>
      <c r="P15" s="183" t="str">
        <f>IF(Tabla15612172227[[#This Row],[Puntos scratch]]="","NO PUNTÚA",SUM(Tabla15612172227[[#This Row],[Puntos scratch]],Tabla15612172227[[#This Row],[Puntos clase]])*2)</f>
        <v>NO PUNTÚA</v>
      </c>
      <c r="Q15" s="183" t="str">
        <f>IF(AND(G15="M",Tabla15612172227[[#This Row],[POS]]&lt;&gt;"AB",Tabla15612172227[[#This Row],[POS]]&lt;&gt;"DSQ"),COUNTIF($G$6:G15,"M"),"")</f>
        <v/>
      </c>
      <c r="R15" s="183" t="str">
        <f>IF(G15="M",IF(Tabla15612172227[[#This Row],[Tiempo]]="AB","",LOOKUP(Tabla15612172227[[#This Row],[CLAS SCRATCH2]],'Datos puntos'!$A$2:$A$23,'Datos puntos'!$B$2:$B$23)),"")</f>
        <v/>
      </c>
      <c r="S15" s="183" t="str">
        <f>IF(AND(G15="M",Tabla15612172227[[#This Row],[POS]]&lt;&gt;"AB",Tabla15612172227[[#This Row],[POS]]&lt;&gt;"DSQ"),COUNTIFS($J$6:J15,Tabla15612172227[[#This Row],[Clase]],$G$6:G15,"M"),"")</f>
        <v/>
      </c>
      <c r="T15" s="183" t="str">
        <f>IF(G15="M",IF(Tabla15612172227[[#This Row],[Tiempo]]="AB","",LOOKUP(Tabla15612172227[[#This Row],[CLAS CLASE2]],'Datos puntos'!$A$25:$A$53,'Datos puntos'!$B$25:$B$53)),"")</f>
        <v/>
      </c>
      <c r="U15" s="183" t="str">
        <f>IF(Tabla15612172227[[#This Row],[Puntos scratch3]]="","NO PUNTÚA",SUM(Tabla15612172227[[#This Row],[Puntos scratch3]],Tabla15612172227[[#This Row],[Puntos clase5]])*2)</f>
        <v>NO PUNTÚA</v>
      </c>
      <c r="W15" s="241">
        <v>3</v>
      </c>
      <c r="X15" s="290" t="s">
        <v>232</v>
      </c>
    </row>
    <row r="16" spans="1:27" x14ac:dyDescent="0.35">
      <c r="A16" s="176">
        <v>11</v>
      </c>
      <c r="B16" s="176">
        <v>24</v>
      </c>
      <c r="C16" s="269" t="s">
        <v>403</v>
      </c>
      <c r="D16" s="179" t="s">
        <v>366</v>
      </c>
      <c r="E16" s="179" t="s">
        <v>168</v>
      </c>
      <c r="F16" s="179" t="s">
        <v>457</v>
      </c>
      <c r="G16" s="179" t="s">
        <v>432</v>
      </c>
      <c r="H16" s="179" t="s">
        <v>379</v>
      </c>
      <c r="I16" s="180" t="s">
        <v>24</v>
      </c>
      <c r="J16" s="180">
        <v>3</v>
      </c>
      <c r="K16" s="181"/>
      <c r="L16" s="183">
        <f>IF(AND(E16="M",Tabla15612172227[[#This Row],[POS]]&lt;&gt;"AB",Tabla15612172227[[#This Row],[POS]]&lt;&gt;"DSQ"),COUNTIF($E$6:E16,"M"),"")</f>
        <v>9</v>
      </c>
      <c r="M16" s="183">
        <f>IF(E16="M",IF(Tabla15612172227[[#This Row],[Tiempo]]="AB","",LOOKUP(Tabla15612172227[[#This Row],[CLAS SCRATCH]],'Datos puntos'!$A$2:$A$23,'Datos puntos'!$B$2:$B$23)),"")</f>
        <v>5</v>
      </c>
      <c r="N16" s="183">
        <f>IF(AND(E16="M",Tabla15612172227[[#This Row],[POS]]&lt;&gt;"AB",Tabla15612172227[[#This Row],[POS]]&lt;&gt;"DSQ"),COUNTIFS($J$6:J16,Tabla15612172227[[#This Row],[Clase]],$E$6:E16,"M"),"")</f>
        <v>4</v>
      </c>
      <c r="O16" s="183">
        <f>IF(E16="M",IF(Tabla15612172227[[#This Row],[Tiempo]]="AB","",LOOKUP(Tabla15612172227[[#This Row],[CLAS CLASE]],'Datos puntos'!$A$25:$A$53,'Datos puntos'!$B$25:$B$53)),"")</f>
        <v>5</v>
      </c>
      <c r="P16" s="183">
        <f>IF(Tabla15612172227[[#This Row],[Puntos scratch]]="","NO PUNTÚA",SUM(Tabla15612172227[[#This Row],[Puntos scratch]],Tabla15612172227[[#This Row],[Puntos clase]])*2)</f>
        <v>20</v>
      </c>
      <c r="Q16" s="183" t="str">
        <f>IF(AND(G16="M",Tabla15612172227[[#This Row],[POS]]&lt;&gt;"AB",Tabla15612172227[[#This Row],[POS]]&lt;&gt;"DSQ"),COUNTIF($G$6:G16,"M"),"")</f>
        <v/>
      </c>
      <c r="R16" s="183" t="str">
        <f>IF(G16="M",IF(Tabla15612172227[[#This Row],[Tiempo]]="AB","",LOOKUP(Tabla15612172227[[#This Row],[CLAS SCRATCH2]],'Datos puntos'!$A$2:$A$23,'Datos puntos'!$B$2:$B$23)),"")</f>
        <v/>
      </c>
      <c r="S16" s="183" t="str">
        <f>IF(AND(G16="M",Tabla15612172227[[#This Row],[POS]]&lt;&gt;"AB",Tabla15612172227[[#This Row],[POS]]&lt;&gt;"DSQ"),COUNTIFS($J$6:J16,Tabla15612172227[[#This Row],[Clase]],$G$6:G16,"M"),"")</f>
        <v/>
      </c>
      <c r="T16" s="183" t="str">
        <f>IF(G16="M",IF(Tabla15612172227[[#This Row],[Tiempo]]="AB","",LOOKUP(Tabla15612172227[[#This Row],[CLAS CLASE2]],'Datos puntos'!$A$25:$A$53,'Datos puntos'!$B$25:$B$53)),"")</f>
        <v/>
      </c>
      <c r="U16" s="183" t="str">
        <f>IF(Tabla15612172227[[#This Row],[Puntos scratch3]]="","NO PUNTÚA",SUM(Tabla15612172227[[#This Row],[Puntos scratch3]],Tabla15612172227[[#This Row],[Puntos clase5]])*2)</f>
        <v>NO PUNTÚA</v>
      </c>
      <c r="W16" s="241">
        <v>2</v>
      </c>
      <c r="X16" s="299" t="s">
        <v>330</v>
      </c>
    </row>
    <row r="17" spans="1:24" x14ac:dyDescent="0.35">
      <c r="A17" s="176">
        <v>12</v>
      </c>
      <c r="B17" s="176">
        <v>12</v>
      </c>
      <c r="C17" s="268" t="s">
        <v>401</v>
      </c>
      <c r="D17" s="179" t="s">
        <v>241</v>
      </c>
      <c r="E17" s="179" t="s">
        <v>168</v>
      </c>
      <c r="F17" s="179" t="s">
        <v>296</v>
      </c>
      <c r="G17" s="179" t="s">
        <v>168</v>
      </c>
      <c r="H17" s="179" t="s">
        <v>357</v>
      </c>
      <c r="I17" s="180" t="s">
        <v>24</v>
      </c>
      <c r="J17" s="180">
        <v>5</v>
      </c>
      <c r="K17" s="181"/>
      <c r="L17" s="183">
        <f>IF(AND(E17="M",Tabla15612172227[[#This Row],[POS]]&lt;&gt;"AB",Tabla15612172227[[#This Row],[POS]]&lt;&gt;"DSQ"),COUNTIF($E$6:E17,"M"),"")</f>
        <v>10</v>
      </c>
      <c r="M17" s="183">
        <f>IF(E17="M",IF(Tabla15612172227[[#This Row],[Tiempo]]="AB","",LOOKUP(Tabla15612172227[[#This Row],[CLAS SCRATCH]],'Datos puntos'!$A$2:$A$23,'Datos puntos'!$B$2:$B$23)),"")</f>
        <v>4</v>
      </c>
      <c r="N17" s="183">
        <f>IF(AND(E17="M",Tabla15612172227[[#This Row],[POS]]&lt;&gt;"AB",Tabla15612172227[[#This Row],[POS]]&lt;&gt;"DSQ"),COUNTIFS($J$6:J17,Tabla15612172227[[#This Row],[Clase]],$E$6:E17,"M"),"")</f>
        <v>1</v>
      </c>
      <c r="O17" s="183">
        <f>IF(E17="M",IF(Tabla15612172227[[#This Row],[Tiempo]]="AB","",LOOKUP(Tabla15612172227[[#This Row],[CLAS CLASE]],'Datos puntos'!$A$25:$A$53,'Datos puntos'!$B$25:$B$53)),"")</f>
        <v>10</v>
      </c>
      <c r="P17" s="183">
        <f>IF(Tabla15612172227[[#This Row],[Puntos scratch]]="","NO PUNTÚA",SUM(Tabla15612172227[[#This Row],[Puntos scratch]],Tabla15612172227[[#This Row],[Puntos clase]])*2)</f>
        <v>28</v>
      </c>
      <c r="Q17" s="183">
        <f>IF(AND(G17="M",Tabla15612172227[[#This Row],[POS]]&lt;&gt;"AB",Tabla15612172227[[#This Row],[POS]]&lt;&gt;"DSQ"),COUNTIF($G$6:G17,"M"),"")</f>
        <v>6</v>
      </c>
      <c r="R17" s="183">
        <f>IF(G17="M",IF(Tabla15612172227[[#This Row],[Tiempo]]="AB","",LOOKUP(Tabla15612172227[[#This Row],[CLAS SCRATCH2]],'Datos puntos'!$A$2:$A$23,'Datos puntos'!$B$2:$B$23)),"")</f>
        <v>10</v>
      </c>
      <c r="S17" s="183">
        <f>IF(AND(G17="M",Tabla15612172227[[#This Row],[POS]]&lt;&gt;"AB",Tabla15612172227[[#This Row],[POS]]&lt;&gt;"DSQ"),COUNTIFS($J$6:J17,Tabla15612172227[[#This Row],[Clase]],$G$6:G17,"M"),"")</f>
        <v>1</v>
      </c>
      <c r="T17" s="183">
        <f>IF(G17="M",IF(Tabla15612172227[[#This Row],[Tiempo]]="AB","",LOOKUP(Tabla15612172227[[#This Row],[CLAS CLASE2]],'Datos puntos'!$A$25:$A$53,'Datos puntos'!$B$25:$B$53)),"")</f>
        <v>10</v>
      </c>
      <c r="U17" s="183">
        <f>IF(Tabla15612172227[[#This Row],[Puntos scratch3]]="","NO PUNTÚA",SUM(Tabla15612172227[[#This Row],[Puntos scratch3]],Tabla15612172227[[#This Row],[Puntos clase5]])*2)</f>
        <v>40</v>
      </c>
      <c r="W17" s="241">
        <v>1</v>
      </c>
      <c r="X17" s="292" t="s">
        <v>362</v>
      </c>
    </row>
    <row r="18" spans="1:24" x14ac:dyDescent="0.35">
      <c r="A18" s="176">
        <v>13</v>
      </c>
      <c r="B18" s="176">
        <v>18</v>
      </c>
      <c r="C18" s="268" t="s">
        <v>403</v>
      </c>
      <c r="D18" s="179" t="s">
        <v>242</v>
      </c>
      <c r="E18" s="179" t="s">
        <v>168</v>
      </c>
      <c r="F18" s="179" t="s">
        <v>243</v>
      </c>
      <c r="G18" s="179" t="s">
        <v>168</v>
      </c>
      <c r="H18" s="179" t="s">
        <v>314</v>
      </c>
      <c r="I18" s="180" t="s">
        <v>24</v>
      </c>
      <c r="J18" s="180">
        <v>3</v>
      </c>
      <c r="K18" s="181"/>
      <c r="L18" s="183">
        <f>IF(AND(E18="M",Tabla15612172227[[#This Row],[POS]]&lt;&gt;"AB",Tabla15612172227[[#This Row],[POS]]&lt;&gt;"DSQ"),COUNTIF($E$6:E18,"M"),"")</f>
        <v>11</v>
      </c>
      <c r="M18" s="183">
        <f>IF(E18="M",IF(Tabla15612172227[[#This Row],[Tiempo]]="AB","",LOOKUP(Tabla15612172227[[#This Row],[CLAS SCRATCH]],'Datos puntos'!$A$2:$A$23,'Datos puntos'!$B$2:$B$23)),"")</f>
        <v>3</v>
      </c>
      <c r="N18" s="183">
        <f>IF(AND(E18="M",Tabla15612172227[[#This Row],[POS]]&lt;&gt;"AB",Tabla15612172227[[#This Row],[POS]]&lt;&gt;"DSQ"),COUNTIFS($J$6:J18,Tabla15612172227[[#This Row],[Clase]],$E$6:E18,"M"),"")</f>
        <v>5</v>
      </c>
      <c r="O18" s="183">
        <f>IF(E18="M",IF(Tabla15612172227[[#This Row],[Tiempo]]="AB","",LOOKUP(Tabla15612172227[[#This Row],[CLAS CLASE]],'Datos puntos'!$A$25:$A$53,'Datos puntos'!$B$25:$B$53)),"")</f>
        <v>3</v>
      </c>
      <c r="P18" s="183">
        <f>IF(Tabla15612172227[[#This Row],[Puntos scratch]]="","NO PUNTÚA",SUM(Tabla15612172227[[#This Row],[Puntos scratch]],Tabla15612172227[[#This Row],[Puntos clase]])*2)</f>
        <v>12</v>
      </c>
      <c r="Q18" s="183">
        <f>IF(AND(G18="M",Tabla15612172227[[#This Row],[POS]]&lt;&gt;"AB",Tabla15612172227[[#This Row],[POS]]&lt;&gt;"DSQ"),COUNTIF($G$6:G18,"M"),"")</f>
        <v>7</v>
      </c>
      <c r="R18" s="183">
        <f>IF(G18="M",IF(Tabla15612172227[[#This Row],[Tiempo]]="AB","",LOOKUP(Tabla15612172227[[#This Row],[CLAS SCRATCH2]],'Datos puntos'!$A$2:$A$23,'Datos puntos'!$B$2:$B$23)),"")</f>
        <v>8</v>
      </c>
      <c r="S18" s="183">
        <f>IF(AND(G18="M",Tabla15612172227[[#This Row],[POS]]&lt;&gt;"AB",Tabla15612172227[[#This Row],[POS]]&lt;&gt;"DSQ"),COUNTIFS($J$6:J18,Tabla15612172227[[#This Row],[Clase]],$G$6:G18,"M"),"")</f>
        <v>2</v>
      </c>
      <c r="T18" s="183">
        <f>IF(G18="M",IF(Tabla15612172227[[#This Row],[Tiempo]]="AB","",LOOKUP(Tabla15612172227[[#This Row],[CLAS CLASE2]],'Datos puntos'!$A$25:$A$53,'Datos puntos'!$B$25:$B$53)),"")</f>
        <v>8</v>
      </c>
      <c r="U18" s="183">
        <f>IF(Tabla15612172227[[#This Row],[Puntos scratch3]]="","NO PUNTÚA",SUM(Tabla15612172227[[#This Row],[Puntos scratch3]],Tabla15612172227[[#This Row],[Puntos clase5]])*2)</f>
        <v>32</v>
      </c>
      <c r="W18" s="241">
        <v>0</v>
      </c>
      <c r="X18" s="300" t="s">
        <v>404</v>
      </c>
    </row>
    <row r="19" spans="1:24" x14ac:dyDescent="0.35">
      <c r="A19" s="176">
        <v>14</v>
      </c>
      <c r="B19" s="176">
        <v>27</v>
      </c>
      <c r="C19" s="268" t="s">
        <v>232</v>
      </c>
      <c r="D19" s="179" t="s">
        <v>283</v>
      </c>
      <c r="E19" s="179" t="s">
        <v>168</v>
      </c>
      <c r="F19" s="179" t="s">
        <v>244</v>
      </c>
      <c r="G19" s="179" t="s">
        <v>168</v>
      </c>
      <c r="H19" s="179" t="s">
        <v>176</v>
      </c>
      <c r="I19" s="180" t="s">
        <v>24</v>
      </c>
      <c r="J19" s="180">
        <v>4</v>
      </c>
      <c r="K19" s="181"/>
      <c r="L19" s="183">
        <f>IF(AND(E19="M",Tabla15612172227[[#This Row],[POS]]&lt;&gt;"AB",Tabla15612172227[[#This Row],[POS]]&lt;&gt;"DSQ"),COUNTIF($E$6:E19,"M"),"")</f>
        <v>12</v>
      </c>
      <c r="M19" s="183">
        <f>IF(E19="M",IF(Tabla15612172227[[#This Row],[Tiempo]]="AB","",LOOKUP(Tabla15612172227[[#This Row],[CLAS SCRATCH]],'Datos puntos'!$A$2:$A$23,'Datos puntos'!$B$2:$B$23)),"")</f>
        <v>2</v>
      </c>
      <c r="N19" s="183">
        <f>IF(AND(E19="M",Tabla15612172227[[#This Row],[POS]]&lt;&gt;"AB",Tabla15612172227[[#This Row],[POS]]&lt;&gt;"DSQ"),COUNTIFS($J$6:J19,Tabla15612172227[[#This Row],[Clase]],$E$6:E19,"M"),"")</f>
        <v>1</v>
      </c>
      <c r="O19" s="183">
        <f>IF(E19="M",IF(Tabla15612172227[[#This Row],[Tiempo]]="AB","",LOOKUP(Tabla15612172227[[#This Row],[CLAS CLASE]],'Datos puntos'!$A$25:$A$53,'Datos puntos'!$B$25:$B$53)),"")</f>
        <v>10</v>
      </c>
      <c r="P19" s="183">
        <f>IF(Tabla15612172227[[#This Row],[Puntos scratch]]="","NO PUNTÚA",SUM(Tabla15612172227[[#This Row],[Puntos scratch]],Tabla15612172227[[#This Row],[Puntos clase]])*2)</f>
        <v>24</v>
      </c>
      <c r="Q19" s="183">
        <f>IF(AND(G19="M",Tabla15612172227[[#This Row],[POS]]&lt;&gt;"AB",Tabla15612172227[[#This Row],[POS]]&lt;&gt;"DSQ"),COUNTIF($G$6:G19,"M"),"")</f>
        <v>8</v>
      </c>
      <c r="R19" s="183">
        <f>IF(G19="M",IF(Tabla15612172227[[#This Row],[Tiempo]]="AB","",LOOKUP(Tabla15612172227[[#This Row],[CLAS SCRATCH2]],'Datos puntos'!$A$2:$A$23,'Datos puntos'!$B$2:$B$23)),"")</f>
        <v>6</v>
      </c>
      <c r="S19" s="183">
        <f>IF(AND(G19="M",Tabla15612172227[[#This Row],[POS]]&lt;&gt;"AB",Tabla15612172227[[#This Row],[POS]]&lt;&gt;"DSQ"),COUNTIFS($J$6:J19,Tabla15612172227[[#This Row],[Clase]],$G$6:G19,"M"),"")</f>
        <v>1</v>
      </c>
      <c r="T19" s="183">
        <f>IF(G19="M",IF(Tabla15612172227[[#This Row],[Tiempo]]="AB","",LOOKUP(Tabla15612172227[[#This Row],[CLAS CLASE2]],'Datos puntos'!$A$25:$A$53,'Datos puntos'!$B$25:$B$53)),"")</f>
        <v>10</v>
      </c>
      <c r="U19" s="183">
        <f>IF(Tabla15612172227[[#This Row],[Puntos scratch3]]="","NO PUNTÚA",SUM(Tabla15612172227[[#This Row],[Puntos scratch3]],Tabla15612172227[[#This Row],[Puntos clase5]])*2)</f>
        <v>32</v>
      </c>
      <c r="X19" s="172" t="s">
        <v>464</v>
      </c>
    </row>
    <row r="20" spans="1:24" x14ac:dyDescent="0.35">
      <c r="A20" s="176">
        <v>15</v>
      </c>
      <c r="B20" s="176">
        <v>26</v>
      </c>
      <c r="C20" s="294" t="s">
        <v>448</v>
      </c>
      <c r="D20" s="179" t="s">
        <v>370</v>
      </c>
      <c r="E20" s="179" t="s">
        <v>168</v>
      </c>
      <c r="F20" s="179" t="s">
        <v>250</v>
      </c>
      <c r="G20" s="179" t="s">
        <v>168</v>
      </c>
      <c r="H20" s="179" t="s">
        <v>247</v>
      </c>
      <c r="I20" s="180" t="s">
        <v>24</v>
      </c>
      <c r="J20" s="180">
        <v>5</v>
      </c>
      <c r="K20" s="181"/>
      <c r="L20" s="183">
        <f>IF(AND(E20="M",Tabla15612172227[[#This Row],[POS]]&lt;&gt;"AB",Tabla15612172227[[#This Row],[POS]]&lt;&gt;"DSQ"),COUNTIF($E$6:E20,"M"),"")</f>
        <v>13</v>
      </c>
      <c r="M20" s="183">
        <f>IF(E20="M",IF(Tabla15612172227[[#This Row],[Tiempo]]="AB","",LOOKUP(Tabla15612172227[[#This Row],[CLAS SCRATCH]],'Datos puntos'!$A$2:$A$23,'Datos puntos'!$B$2:$B$23)),"")</f>
        <v>1</v>
      </c>
      <c r="N20" s="183">
        <f>IF(AND(E20="M",Tabla15612172227[[#This Row],[POS]]&lt;&gt;"AB",Tabla15612172227[[#This Row],[POS]]&lt;&gt;"DSQ"),COUNTIFS($J$6:J20,Tabla15612172227[[#This Row],[Clase]],$E$6:E20,"M"),"")</f>
        <v>2</v>
      </c>
      <c r="O20" s="183">
        <f>IF(E20="M",IF(Tabla15612172227[[#This Row],[Tiempo]]="AB","",LOOKUP(Tabla15612172227[[#This Row],[CLAS CLASE]],'Datos puntos'!$A$25:$A$53,'Datos puntos'!$B$25:$B$53)),"")</f>
        <v>8</v>
      </c>
      <c r="P20" s="183">
        <f>IF(Tabla15612172227[[#This Row],[Puntos scratch]]="","NO PUNTÚA",SUM(Tabla15612172227[[#This Row],[Puntos scratch]],Tabla15612172227[[#This Row],[Puntos clase]])*2)</f>
        <v>18</v>
      </c>
      <c r="Q20" s="183">
        <f>IF(AND(G20="M",Tabla15612172227[[#This Row],[POS]]&lt;&gt;"AB",Tabla15612172227[[#This Row],[POS]]&lt;&gt;"DSQ"),COUNTIF($G$6:G20,"M"),"")</f>
        <v>9</v>
      </c>
      <c r="R20" s="183">
        <f>IF(G20="M",IF(Tabla15612172227[[#This Row],[Tiempo]]="AB","",LOOKUP(Tabla15612172227[[#This Row],[CLAS SCRATCH2]],'Datos puntos'!$A$2:$A$23,'Datos puntos'!$B$2:$B$23)),"")</f>
        <v>5</v>
      </c>
      <c r="S20" s="183">
        <f>IF(AND(G20="M",Tabla15612172227[[#This Row],[POS]]&lt;&gt;"AB",Tabla15612172227[[#This Row],[POS]]&lt;&gt;"DSQ"),COUNTIFS($J$6:J20,Tabla15612172227[[#This Row],[Clase]],$G$6:G20,"M"),"")</f>
        <v>2</v>
      </c>
      <c r="T20" s="183">
        <f>IF(G20="M",IF(Tabla15612172227[[#This Row],[Tiempo]]="AB","",LOOKUP(Tabla15612172227[[#This Row],[CLAS CLASE2]],'Datos puntos'!$A$25:$A$53,'Datos puntos'!$B$25:$B$53)),"")</f>
        <v>8</v>
      </c>
      <c r="U20" s="183">
        <f>IF(Tabla15612172227[[#This Row],[Puntos scratch3]]="","NO PUNTÚA",SUM(Tabla15612172227[[#This Row],[Puntos scratch3]],Tabla15612172227[[#This Row],[Puntos clase5]])*2)</f>
        <v>26</v>
      </c>
    </row>
    <row r="21" spans="1:24" x14ac:dyDescent="0.35">
      <c r="A21" s="176">
        <v>16</v>
      </c>
      <c r="B21" s="176">
        <v>21</v>
      </c>
      <c r="C21" s="249" t="s">
        <v>171</v>
      </c>
      <c r="D21" s="179" t="s">
        <v>367</v>
      </c>
      <c r="E21" s="179" t="s">
        <v>432</v>
      </c>
      <c r="F21" s="179" t="s">
        <v>424</v>
      </c>
      <c r="G21" s="179" t="s">
        <v>432</v>
      </c>
      <c r="H21" s="179" t="s">
        <v>380</v>
      </c>
      <c r="I21" s="180" t="s">
        <v>24</v>
      </c>
      <c r="J21" s="180">
        <v>5</v>
      </c>
      <c r="K21" s="181"/>
      <c r="L21" s="183" t="str">
        <f>IF(AND(E21="M",Tabla15612172227[[#This Row],[POS]]&lt;&gt;"AB",Tabla15612172227[[#This Row],[POS]]&lt;&gt;"DSQ"),COUNTIF($E$6:E21,"M"),"")</f>
        <v/>
      </c>
      <c r="M21" s="183" t="str">
        <f>IF(E21="M",IF(Tabla15612172227[[#This Row],[Tiempo]]="AB","",LOOKUP(Tabla15612172227[[#This Row],[CLAS SCRATCH]],'Datos puntos'!$A$2:$A$23,'Datos puntos'!$B$2:$B$23)),"")</f>
        <v/>
      </c>
      <c r="N21" s="183" t="str">
        <f>IF(AND(E21="M",Tabla15612172227[[#This Row],[POS]]&lt;&gt;"AB",Tabla15612172227[[#This Row],[POS]]&lt;&gt;"DSQ"),COUNTIFS($J$6:J21,Tabla15612172227[[#This Row],[Clase]],$E$6:E21,"M"),"")</f>
        <v/>
      </c>
      <c r="O21" s="183" t="str">
        <f>IF(E21="M",IF(Tabla15612172227[[#This Row],[Tiempo]]="AB","",LOOKUP(Tabla15612172227[[#This Row],[CLAS CLASE]],'Datos puntos'!$A$25:$A$53,'Datos puntos'!$B$25:$B$53)),"")</f>
        <v/>
      </c>
      <c r="P21" s="183" t="str">
        <f>IF(Tabla15612172227[[#This Row],[Puntos scratch]]="","NO PUNTÚA",SUM(Tabla15612172227[[#This Row],[Puntos scratch]],Tabla15612172227[[#This Row],[Puntos clase]])*2)</f>
        <v>NO PUNTÚA</v>
      </c>
      <c r="Q21" s="183" t="str">
        <f>IF(AND(G21="M",Tabla15612172227[[#This Row],[POS]]&lt;&gt;"AB",Tabla15612172227[[#This Row],[POS]]&lt;&gt;"DSQ"),COUNTIF($G$6:G21,"M"),"")</f>
        <v/>
      </c>
      <c r="R21" s="183" t="str">
        <f>IF(G21="M",IF(Tabla15612172227[[#This Row],[Tiempo]]="AB","",LOOKUP(Tabla15612172227[[#This Row],[CLAS SCRATCH2]],'Datos puntos'!$A$2:$A$23,'Datos puntos'!$B$2:$B$23)),"")</f>
        <v/>
      </c>
      <c r="S21" s="183" t="str">
        <f>IF(AND(G21="M",Tabla15612172227[[#This Row],[POS]]&lt;&gt;"AB",Tabla15612172227[[#This Row],[POS]]&lt;&gt;"DSQ"),COUNTIFS($J$6:J21,Tabla15612172227[[#This Row],[Clase]],$G$6:G21,"M"),"")</f>
        <v/>
      </c>
      <c r="T21" s="183" t="str">
        <f>IF(G21="M",IF(Tabla15612172227[[#This Row],[Tiempo]]="AB","",LOOKUP(Tabla15612172227[[#This Row],[CLAS CLASE2]],'Datos puntos'!$A$25:$A$53,'Datos puntos'!$B$25:$B$53)),"")</f>
        <v/>
      </c>
      <c r="U21" s="183" t="str">
        <f>IF(Tabla15612172227[[#This Row],[Puntos scratch3]]="","NO PUNTÚA",SUM(Tabla15612172227[[#This Row],[Puntos scratch3]],Tabla15612172227[[#This Row],[Puntos clase5]])*2)</f>
        <v>NO PUNTÚA</v>
      </c>
    </row>
    <row r="22" spans="1:24" x14ac:dyDescent="0.35">
      <c r="A22" s="176">
        <v>17</v>
      </c>
      <c r="B22" s="176">
        <v>25</v>
      </c>
      <c r="C22" s="268" t="s">
        <v>232</v>
      </c>
      <c r="D22" s="179" t="s">
        <v>391</v>
      </c>
      <c r="E22" s="179" t="s">
        <v>432</v>
      </c>
      <c r="F22" s="179" t="s">
        <v>426</v>
      </c>
      <c r="G22" s="179" t="s">
        <v>432</v>
      </c>
      <c r="H22" s="179" t="s">
        <v>178</v>
      </c>
      <c r="I22" s="180" t="s">
        <v>24</v>
      </c>
      <c r="J22" s="180">
        <v>5</v>
      </c>
      <c r="K22" s="181"/>
      <c r="L22" s="183" t="str">
        <f>IF(AND(E22="M",Tabla15612172227[[#This Row],[POS]]&lt;&gt;"AB",Tabla15612172227[[#This Row],[POS]]&lt;&gt;"DSQ"),COUNTIF($E$6:E22,"M"),"")</f>
        <v/>
      </c>
      <c r="M22" s="183" t="str">
        <f>IF(E22="M",IF(Tabla15612172227[[#This Row],[Tiempo]]="AB","",LOOKUP(Tabla15612172227[[#This Row],[CLAS SCRATCH]],'Datos puntos'!$A$2:$A$23,'Datos puntos'!$B$2:$B$23)),"")</f>
        <v/>
      </c>
      <c r="N22" s="183" t="str">
        <f>IF(AND(E22="M",Tabla15612172227[[#This Row],[POS]]&lt;&gt;"AB",Tabla15612172227[[#This Row],[POS]]&lt;&gt;"DSQ"),COUNTIFS($J$6:J22,Tabla15612172227[[#This Row],[Clase]],$E$6:E22,"M"),"")</f>
        <v/>
      </c>
      <c r="O22" s="183" t="str">
        <f>IF(E22="M",IF(Tabla15612172227[[#This Row],[Tiempo]]="AB","",LOOKUP(Tabla15612172227[[#This Row],[CLAS CLASE]],'Datos puntos'!$A$25:$A$53,'Datos puntos'!$B$25:$B$53)),"")</f>
        <v/>
      </c>
      <c r="P22" s="183" t="str">
        <f>IF(Tabla15612172227[[#This Row],[Puntos scratch]]="","NO PUNTÚA",SUM(Tabla15612172227[[#This Row],[Puntos scratch]],Tabla15612172227[[#This Row],[Puntos clase]])*2)</f>
        <v>NO PUNTÚA</v>
      </c>
      <c r="Q22" s="183" t="str">
        <f>IF(AND(G22="M",Tabla15612172227[[#This Row],[POS]]&lt;&gt;"AB",Tabla15612172227[[#This Row],[POS]]&lt;&gt;"DSQ"),COUNTIF($G$6:G22,"M"),"")</f>
        <v/>
      </c>
      <c r="R22" s="183" t="str">
        <f>IF(G22="M",IF(Tabla15612172227[[#This Row],[Tiempo]]="AB","",LOOKUP(Tabla15612172227[[#This Row],[CLAS SCRATCH2]],'Datos puntos'!$A$2:$A$23,'Datos puntos'!$B$2:$B$23)),"")</f>
        <v/>
      </c>
      <c r="S22" s="183" t="str">
        <f>IF(AND(G22="M",Tabla15612172227[[#This Row],[POS]]&lt;&gt;"AB",Tabla15612172227[[#This Row],[POS]]&lt;&gt;"DSQ"),COUNTIFS($J$6:J22,Tabla15612172227[[#This Row],[Clase]],$G$6:G22,"M"),"")</f>
        <v/>
      </c>
      <c r="T22" s="183" t="str">
        <f>IF(G22="M",IF(Tabla15612172227[[#This Row],[Tiempo]]="AB","",LOOKUP(Tabla15612172227[[#This Row],[CLAS CLASE2]],'Datos puntos'!$A$25:$A$53,'Datos puntos'!$B$25:$B$53)),"")</f>
        <v/>
      </c>
      <c r="U22" s="183" t="str">
        <f>IF(Tabla15612172227[[#This Row],[Puntos scratch3]]="","NO PUNTÚA",SUM(Tabla15612172227[[#This Row],[Puntos scratch3]],Tabla15612172227[[#This Row],[Puntos clase5]])*2)</f>
        <v>NO PUNTÚA</v>
      </c>
    </row>
    <row r="23" spans="1:24" x14ac:dyDescent="0.35">
      <c r="A23" s="176">
        <v>18</v>
      </c>
      <c r="B23" s="176">
        <v>28</v>
      </c>
      <c r="C23" s="295" t="s">
        <v>330</v>
      </c>
      <c r="D23" s="179" t="s">
        <v>332</v>
      </c>
      <c r="E23" s="179" t="s">
        <v>432</v>
      </c>
      <c r="F23" s="179" t="s">
        <v>282</v>
      </c>
      <c r="G23" s="179" t="s">
        <v>168</v>
      </c>
      <c r="H23" s="179" t="s">
        <v>176</v>
      </c>
      <c r="I23" s="180" t="s">
        <v>24</v>
      </c>
      <c r="J23" s="180">
        <v>4</v>
      </c>
      <c r="K23" s="181"/>
      <c r="L23" s="183" t="str">
        <f>IF(AND(E23="M",Tabla15612172227[[#This Row],[POS]]&lt;&gt;"AB",Tabla15612172227[[#This Row],[POS]]&lt;&gt;"DSQ"),COUNTIF($E$6:E23,"M"),"")</f>
        <v/>
      </c>
      <c r="M23" s="183" t="str">
        <f>IF(E23="M",IF(Tabla15612172227[[#This Row],[Tiempo]]="AB","",LOOKUP(Tabla15612172227[[#This Row],[CLAS SCRATCH]],'Datos puntos'!$A$2:$A$23,'Datos puntos'!$B$2:$B$23)),"")</f>
        <v/>
      </c>
      <c r="N23" s="183" t="str">
        <f>IF(AND(E23="M",Tabla15612172227[[#This Row],[POS]]&lt;&gt;"AB",Tabla15612172227[[#This Row],[POS]]&lt;&gt;"DSQ"),COUNTIFS($J$6:J23,Tabla15612172227[[#This Row],[Clase]],$E$6:E23,"M"),"")</f>
        <v/>
      </c>
      <c r="O23" s="183" t="str">
        <f>IF(E23="M",IF(Tabla15612172227[[#This Row],[Tiempo]]="AB","",LOOKUP(Tabla15612172227[[#This Row],[CLAS CLASE]],'Datos puntos'!$A$25:$A$53,'Datos puntos'!$B$25:$B$53)),"")</f>
        <v/>
      </c>
      <c r="P23" s="183" t="str">
        <f>IF(Tabla15612172227[[#This Row],[Puntos scratch]]="","NO PUNTÚA",SUM(Tabla15612172227[[#This Row],[Puntos scratch]],Tabla15612172227[[#This Row],[Puntos clase]])*2)</f>
        <v>NO PUNTÚA</v>
      </c>
      <c r="Q23" s="183">
        <f>IF(AND(G23="M",Tabla15612172227[[#This Row],[POS]]&lt;&gt;"AB",Tabla15612172227[[#This Row],[POS]]&lt;&gt;"DSQ"),COUNTIF($G$6:G23,"M"),"")</f>
        <v>10</v>
      </c>
      <c r="R23" s="183">
        <f>IF(G23="M",IF(Tabla15612172227[[#This Row],[Tiempo]]="AB","",LOOKUP(Tabla15612172227[[#This Row],[CLAS SCRATCH2]],'Datos puntos'!$A$2:$A$23,'Datos puntos'!$B$2:$B$23)),"")</f>
        <v>4</v>
      </c>
      <c r="S23" s="183">
        <f>IF(AND(G23="M",Tabla15612172227[[#This Row],[POS]]&lt;&gt;"AB",Tabla15612172227[[#This Row],[POS]]&lt;&gt;"DSQ"),COUNTIFS($J$6:J23,Tabla15612172227[[#This Row],[Clase]],$G$6:G23,"M"),"")</f>
        <v>2</v>
      </c>
      <c r="T23" s="183">
        <f>IF(G23="M",IF(Tabla15612172227[[#This Row],[Tiempo]]="AB","",LOOKUP(Tabla15612172227[[#This Row],[CLAS CLASE2]],'Datos puntos'!$A$25:$A$53,'Datos puntos'!$B$25:$B$53)),"")</f>
        <v>8</v>
      </c>
      <c r="U23" s="183">
        <f>IF(Tabla15612172227[[#This Row],[Puntos scratch3]]="","NO PUNTÚA",SUM(Tabla15612172227[[#This Row],[Puntos scratch3]],Tabla15612172227[[#This Row],[Puntos clase5]])*2)</f>
        <v>24</v>
      </c>
    </row>
    <row r="24" spans="1:24" x14ac:dyDescent="0.35">
      <c r="A24" s="176">
        <v>19</v>
      </c>
      <c r="B24" s="176">
        <v>31</v>
      </c>
      <c r="C24" s="292" t="s">
        <v>362</v>
      </c>
      <c r="D24" s="179" t="s">
        <v>275</v>
      </c>
      <c r="E24" s="179" t="s">
        <v>168</v>
      </c>
      <c r="F24" s="179" t="s">
        <v>276</v>
      </c>
      <c r="G24" s="179" t="s">
        <v>168</v>
      </c>
      <c r="H24" s="179" t="s">
        <v>178</v>
      </c>
      <c r="I24" s="180" t="s">
        <v>24</v>
      </c>
      <c r="J24" s="180">
        <v>5</v>
      </c>
      <c r="K24" s="181"/>
      <c r="L24" s="183">
        <f>IF(AND(E24="M",Tabla15612172227[[#This Row],[POS]]&lt;&gt;"AB",Tabla15612172227[[#This Row],[POS]]&lt;&gt;"DSQ"),COUNTIF($E$6:E24,"M"),"")</f>
        <v>14</v>
      </c>
      <c r="M24" s="183">
        <f>IF(E24="M",IF(Tabla15612172227[[#This Row],[Tiempo]]="AB","",LOOKUP(Tabla15612172227[[#This Row],[CLAS SCRATCH]],'Datos puntos'!$A$2:$A$23,'Datos puntos'!$B$2:$B$23)),"")</f>
        <v>0</v>
      </c>
      <c r="N24" s="183">
        <f>IF(AND(E24="M",Tabla15612172227[[#This Row],[POS]]&lt;&gt;"AB",Tabla15612172227[[#This Row],[POS]]&lt;&gt;"DSQ"),COUNTIFS($J$6:J24,Tabla15612172227[[#This Row],[Clase]],$E$6:E24,"M"),"")</f>
        <v>3</v>
      </c>
      <c r="O24" s="183">
        <f>IF(E24="M",IF(Tabla15612172227[[#This Row],[Tiempo]]="AB","",LOOKUP(Tabla15612172227[[#This Row],[CLAS CLASE]],'Datos puntos'!$A$25:$A$53,'Datos puntos'!$B$25:$B$53)),"")</f>
        <v>6</v>
      </c>
      <c r="P24" s="183">
        <f>IF(Tabla15612172227[[#This Row],[Puntos scratch]]="","NO PUNTÚA",SUM(Tabla15612172227[[#This Row],[Puntos scratch]],Tabla15612172227[[#This Row],[Puntos clase]])*2)</f>
        <v>12</v>
      </c>
      <c r="Q24" s="183">
        <f>IF(AND(G24="M",Tabla15612172227[[#This Row],[POS]]&lt;&gt;"AB",Tabla15612172227[[#This Row],[POS]]&lt;&gt;"DSQ"),COUNTIF($G$6:G24,"M"),"")</f>
        <v>11</v>
      </c>
      <c r="R24" s="183">
        <f>IF(G24="M",IF(Tabla15612172227[[#This Row],[Tiempo]]="AB","",LOOKUP(Tabla15612172227[[#This Row],[CLAS SCRATCH2]],'Datos puntos'!$A$2:$A$23,'Datos puntos'!$B$2:$B$23)),"")</f>
        <v>3</v>
      </c>
      <c r="S24" s="183">
        <f>IF(AND(G24="M",Tabla15612172227[[#This Row],[POS]]&lt;&gt;"AB",Tabla15612172227[[#This Row],[POS]]&lt;&gt;"DSQ"),COUNTIFS($J$6:J24,Tabla15612172227[[#This Row],[Clase]],$G$6:G24,"M"),"")</f>
        <v>3</v>
      </c>
      <c r="T24" s="183">
        <f>IF(G24="M",IF(Tabla15612172227[[#This Row],[Tiempo]]="AB","",LOOKUP(Tabla15612172227[[#This Row],[CLAS CLASE2]],'Datos puntos'!$A$25:$A$53,'Datos puntos'!$B$25:$B$53)),"")</f>
        <v>6</v>
      </c>
      <c r="U24" s="183">
        <f>IF(Tabla15612172227[[#This Row],[Puntos scratch3]]="","NO PUNTÚA",SUM(Tabla15612172227[[#This Row],[Puntos scratch3]],Tabla15612172227[[#This Row],[Puntos clase5]])*2)</f>
        <v>18</v>
      </c>
    </row>
    <row r="25" spans="1:24" x14ac:dyDescent="0.35">
      <c r="A25" s="176">
        <v>20</v>
      </c>
      <c r="B25" s="176">
        <v>29</v>
      </c>
      <c r="C25" s="276" t="s">
        <v>444</v>
      </c>
      <c r="D25" s="179" t="s">
        <v>451</v>
      </c>
      <c r="E25" s="179" t="s">
        <v>432</v>
      </c>
      <c r="F25" s="179" t="s">
        <v>385</v>
      </c>
      <c r="G25" s="179" t="s">
        <v>173</v>
      </c>
      <c r="H25" s="179" t="s">
        <v>176</v>
      </c>
      <c r="I25" s="180" t="s">
        <v>24</v>
      </c>
      <c r="J25" s="180">
        <v>4</v>
      </c>
      <c r="K25" s="181"/>
      <c r="L25" s="183" t="str">
        <f>IF(AND(E25="M",Tabla15612172227[[#This Row],[POS]]&lt;&gt;"AB",Tabla15612172227[[#This Row],[POS]]&lt;&gt;"DSQ"),COUNTIF($E$6:E25,"M"),"")</f>
        <v/>
      </c>
      <c r="M25" s="183" t="str">
        <f>IF(E25="M",IF(Tabla15612172227[[#This Row],[Tiempo]]="AB","",LOOKUP(Tabla15612172227[[#This Row],[CLAS SCRATCH]],'Datos puntos'!$A$2:$A$23,'Datos puntos'!$B$2:$B$23)),"")</f>
        <v/>
      </c>
      <c r="N25" s="183" t="str">
        <f>IF(AND(E25="M",Tabla15612172227[[#This Row],[POS]]&lt;&gt;"AB",Tabla15612172227[[#This Row],[POS]]&lt;&gt;"DSQ"),COUNTIFS($J$6:J25,Tabla15612172227[[#This Row],[Clase]],$E$6:E25,"M"),"")</f>
        <v/>
      </c>
      <c r="O25" s="183" t="str">
        <f>IF(E25="M",IF(Tabla15612172227[[#This Row],[Tiempo]]="AB","",LOOKUP(Tabla15612172227[[#This Row],[CLAS CLASE]],'Datos puntos'!$A$25:$A$53,'Datos puntos'!$B$25:$B$53)),"")</f>
        <v/>
      </c>
      <c r="P25" s="183" t="str">
        <f>IF(Tabla15612172227[[#This Row],[Puntos scratch]]="","NO PUNTÚA",SUM(Tabla15612172227[[#This Row],[Puntos scratch]],Tabla15612172227[[#This Row],[Puntos clase]])*2)</f>
        <v>NO PUNTÚA</v>
      </c>
      <c r="Q25" s="183" t="str">
        <f>IF(AND(G25="M",Tabla15612172227[[#This Row],[POS]]&lt;&gt;"AB",Tabla15612172227[[#This Row],[POS]]&lt;&gt;"DSQ"),COUNTIF($G$6:G25,"M"),"")</f>
        <v/>
      </c>
      <c r="R25" s="183" t="str">
        <f>IF(G25="M",IF(Tabla15612172227[[#This Row],[Tiempo]]="AB","",LOOKUP(Tabla15612172227[[#This Row],[CLAS SCRATCH2]],'Datos puntos'!$A$2:$A$23,'Datos puntos'!$B$2:$B$23)),"")</f>
        <v/>
      </c>
      <c r="S25" s="183" t="str">
        <f>IF(AND(G25="M",Tabla15612172227[[#This Row],[POS]]&lt;&gt;"AB",Tabla15612172227[[#This Row],[POS]]&lt;&gt;"DSQ"),COUNTIFS($J$6:J25,Tabla15612172227[[#This Row],[Clase]],$G$6:G25,"M"),"")</f>
        <v/>
      </c>
      <c r="T25" s="183" t="str">
        <f>IF(G25="M",IF(Tabla15612172227[[#This Row],[Tiempo]]="AB","",LOOKUP(Tabla15612172227[[#This Row],[CLAS CLASE2]],'Datos puntos'!$A$25:$A$53,'Datos puntos'!$B$25:$B$53)),"")</f>
        <v/>
      </c>
      <c r="U25" s="183" t="str">
        <f>IF(Tabla15612172227[[#This Row],[Puntos scratch3]]="","NO PUNTÚA",SUM(Tabla15612172227[[#This Row],[Puntos scratch3]],Tabla15612172227[[#This Row],[Puntos clase5]])*2)</f>
        <v>NO PUNTÚA</v>
      </c>
    </row>
    <row r="26" spans="1:24" x14ac:dyDescent="0.35">
      <c r="A26" s="176">
        <v>21</v>
      </c>
      <c r="B26" s="176">
        <v>19</v>
      </c>
      <c r="C26" s="296" t="s">
        <v>362</v>
      </c>
      <c r="D26" s="179" t="s">
        <v>312</v>
      </c>
      <c r="E26" s="179" t="s">
        <v>168</v>
      </c>
      <c r="F26" s="179" t="s">
        <v>313</v>
      </c>
      <c r="G26" s="179" t="s">
        <v>168</v>
      </c>
      <c r="H26" s="179" t="s">
        <v>314</v>
      </c>
      <c r="I26" s="180" t="s">
        <v>24</v>
      </c>
      <c r="J26" s="180">
        <v>3</v>
      </c>
      <c r="K26" s="181"/>
      <c r="L26" s="183">
        <f>IF(AND(E26="M",Tabla15612172227[[#This Row],[POS]]&lt;&gt;"AB",Tabla15612172227[[#This Row],[POS]]&lt;&gt;"DSQ"),COUNTIF($E$6:E26,"M"),"")</f>
        <v>15</v>
      </c>
      <c r="M26" s="183">
        <f>IF(E26="M",IF(Tabla15612172227[[#This Row],[Tiempo]]="AB","",LOOKUP(Tabla15612172227[[#This Row],[CLAS SCRATCH]],'Datos puntos'!$A$2:$A$23,'Datos puntos'!$B$2:$B$23)),"")</f>
        <v>0</v>
      </c>
      <c r="N26" s="183">
        <f>IF(AND(E26="M",Tabla15612172227[[#This Row],[POS]]&lt;&gt;"AB",Tabla15612172227[[#This Row],[POS]]&lt;&gt;"DSQ"),COUNTIFS($J$6:J26,Tabla15612172227[[#This Row],[Clase]],$E$6:E26,"M"),"")</f>
        <v>6</v>
      </c>
      <c r="O26" s="183">
        <f>IF(E26="M",IF(Tabla15612172227[[#This Row],[Tiempo]]="AB","",LOOKUP(Tabla15612172227[[#This Row],[CLAS CLASE]],'Datos puntos'!$A$25:$A$53,'Datos puntos'!$B$25:$B$53)),"")</f>
        <v>1</v>
      </c>
      <c r="P26" s="183">
        <f>IF(Tabla15612172227[[#This Row],[Puntos scratch]]="","NO PUNTÚA",SUM(Tabla15612172227[[#This Row],[Puntos scratch]],Tabla15612172227[[#This Row],[Puntos clase]])*2)</f>
        <v>2</v>
      </c>
      <c r="Q26" s="183">
        <f>IF(AND(G26="M",Tabla15612172227[[#This Row],[POS]]&lt;&gt;"AB",Tabla15612172227[[#This Row],[POS]]&lt;&gt;"DSQ"),COUNTIF($G$6:G26,"M"),"")</f>
        <v>12</v>
      </c>
      <c r="R26" s="183">
        <f>IF(G26="M",IF(Tabla15612172227[[#This Row],[Tiempo]]="AB","",LOOKUP(Tabla15612172227[[#This Row],[CLAS SCRATCH2]],'Datos puntos'!$A$2:$A$23,'Datos puntos'!$B$2:$B$23)),"")</f>
        <v>2</v>
      </c>
      <c r="S26" s="183">
        <f>IF(AND(G26="M",Tabla15612172227[[#This Row],[POS]]&lt;&gt;"AB",Tabla15612172227[[#This Row],[POS]]&lt;&gt;"DSQ"),COUNTIFS($J$6:J26,Tabla15612172227[[#This Row],[Clase]],$G$6:G26,"M"),"")</f>
        <v>3</v>
      </c>
      <c r="T26" s="183">
        <f>IF(G26="M",IF(Tabla15612172227[[#This Row],[Tiempo]]="AB","",LOOKUP(Tabla15612172227[[#This Row],[CLAS CLASE2]],'Datos puntos'!$A$25:$A$53,'Datos puntos'!$B$25:$B$53)),"")</f>
        <v>6</v>
      </c>
      <c r="U26" s="183">
        <f>IF(Tabla15612172227[[#This Row],[Puntos scratch3]]="","NO PUNTÚA",SUM(Tabla15612172227[[#This Row],[Puntos scratch3]],Tabla15612172227[[#This Row],[Puntos clase5]])*2)</f>
        <v>16</v>
      </c>
    </row>
    <row r="27" spans="1:24" x14ac:dyDescent="0.35">
      <c r="A27" s="176" t="s">
        <v>179</v>
      </c>
      <c r="B27" s="176">
        <v>4</v>
      </c>
      <c r="C27" s="278" t="s">
        <v>189</v>
      </c>
      <c r="D27" s="179" t="s">
        <v>238</v>
      </c>
      <c r="E27" s="179" t="s">
        <v>168</v>
      </c>
      <c r="F27" s="179" t="s">
        <v>384</v>
      </c>
      <c r="G27" s="179" t="s">
        <v>168</v>
      </c>
      <c r="H27" s="179" t="s">
        <v>382</v>
      </c>
      <c r="I27" s="180" t="s">
        <v>200</v>
      </c>
      <c r="J27" s="180">
        <v>1</v>
      </c>
      <c r="K27" s="181"/>
      <c r="L27" s="270" t="str">
        <f>IF(AND(E27="M",Tabla15612172227[[#This Row],[POS]]&lt;&gt;"AB",Tabla15612172227[[#This Row],[POS]]&lt;&gt;"DSQ"),COUNTIF($E$6:E28,"M"),"")</f>
        <v/>
      </c>
      <c r="M27" s="183" t="e">
        <f>IF(E27="M",IF(Tabla15612172227[[#This Row],[Tiempo]]="AB","",LOOKUP(Tabla15612172227[[#This Row],[CLAS SCRATCH]],'Datos puntos'!$A$2:$A$23,'Datos puntos'!$B$2:$B$23)),"")</f>
        <v>#N/A</v>
      </c>
      <c r="N27" s="270" t="str">
        <f>IF(AND(E27="M",Tabla15612172227[[#This Row],[POS]]&lt;&gt;"AB",Tabla15612172227[[#This Row],[POS]]&lt;&gt;"DSQ"),COUNTIFS($J$6:J28,Tabla15612172227[[#This Row],[Clase]],$E$6:E28,"M"),"")</f>
        <v/>
      </c>
      <c r="O27" s="183" t="e">
        <f>IF(E27="M",IF(Tabla15612172227[[#This Row],[Tiempo]]="AB","",LOOKUP(Tabla15612172227[[#This Row],[CLAS CLASE]],'Datos puntos'!$A$25:$A$53,'Datos puntos'!$B$25:$B$53)),"")</f>
        <v>#N/A</v>
      </c>
      <c r="P27" s="183" t="e">
        <f>IF(Tabla15612172227[[#This Row],[Puntos scratch]]="","NO PUNTÚA",SUM(Tabla15612172227[[#This Row],[Puntos scratch]],Tabla15612172227[[#This Row],[Puntos clase]])*2)</f>
        <v>#N/A</v>
      </c>
      <c r="Q27" s="270" t="str">
        <f>IF(AND(G27="M",Tabla15612172227[[#This Row],[POS]]&lt;&gt;"AB",Tabla15612172227[[#This Row],[POS]]&lt;&gt;"DSQ"),COUNTIF($G$6:G28,"M"),"")</f>
        <v/>
      </c>
      <c r="R27" s="183" t="e">
        <f>IF(G27="M",IF(Tabla15612172227[[#This Row],[Tiempo]]="AB","",LOOKUP(Tabla15612172227[[#This Row],[CLAS SCRATCH2]],'Datos puntos'!$A$2:$A$23,'Datos puntos'!$B$2:$B$23)),"")</f>
        <v>#N/A</v>
      </c>
      <c r="S27" s="270" t="str">
        <f>IF(AND(G27="M",Tabla15612172227[[#This Row],[POS]]&lt;&gt;"AB",Tabla15612172227[[#This Row],[POS]]&lt;&gt;"DSQ"),COUNTIFS($J$6:J28,Tabla15612172227[[#This Row],[Clase]],$G$6:G28,"M"),"")</f>
        <v/>
      </c>
      <c r="T27" s="183" t="e">
        <f>IF(G27="M",IF(Tabla15612172227[[#This Row],[Tiempo]]="AB","",LOOKUP(Tabla15612172227[[#This Row],[CLAS CLASE2]],'Datos puntos'!$A$25:$A$53,'Datos puntos'!$B$25:$B$53)),"")</f>
        <v>#N/A</v>
      </c>
      <c r="U27" s="183" t="e">
        <f>IF(Tabla15612172227[[#This Row],[Puntos scratch3]]="","NO PUNTÚA",SUM(Tabla15612172227[[#This Row],[Puntos scratch3]],Tabla15612172227[[#This Row],[Puntos clase5]])*2)</f>
        <v>#N/A</v>
      </c>
    </row>
    <row r="28" spans="1:24" x14ac:dyDescent="0.35">
      <c r="A28" s="176" t="s">
        <v>179</v>
      </c>
      <c r="B28" s="176">
        <v>22</v>
      </c>
      <c r="C28" s="297" t="s">
        <v>404</v>
      </c>
      <c r="D28" s="179" t="s">
        <v>410</v>
      </c>
      <c r="E28" s="179" t="s">
        <v>432</v>
      </c>
      <c r="F28" s="179" t="s">
        <v>428</v>
      </c>
      <c r="G28" s="179" t="s">
        <v>432</v>
      </c>
      <c r="H28" s="179" t="s">
        <v>420</v>
      </c>
      <c r="I28" s="180" t="s">
        <v>24</v>
      </c>
      <c r="J28" s="180">
        <v>3</v>
      </c>
      <c r="K28" s="181"/>
      <c r="L28" s="183" t="str">
        <f>IF(AND(E28="M",Tabla15612172227[[#This Row],[POS]]&lt;&gt;"AB",Tabla15612172227[[#This Row],[POS]]&lt;&gt;"DSQ"),COUNTIF($E$6:E28,"M"),"")</f>
        <v/>
      </c>
      <c r="M28" s="183" t="str">
        <f>IF(E28="M",IF(Tabla15612172227[[#This Row],[Tiempo]]="AB","",LOOKUP(Tabla15612172227[[#This Row],[CLAS SCRATCH]],'Datos puntos'!$A$2:$A$23,'Datos puntos'!$B$2:$B$23)),"")</f>
        <v/>
      </c>
      <c r="N28" s="183" t="str">
        <f>IF(AND(E28="M",Tabla15612172227[[#This Row],[POS]]&lt;&gt;"AB",Tabla15612172227[[#This Row],[POS]]&lt;&gt;"DSQ"),COUNTIFS($J$6:J28,Tabla15612172227[[#This Row],[Clase]],$E$6:E28,"M"),"")</f>
        <v/>
      </c>
      <c r="O28" s="183" t="str">
        <f>IF(E28="M",IF(Tabla15612172227[[#This Row],[Tiempo]]="AB","",LOOKUP(Tabla15612172227[[#This Row],[CLAS CLASE]],'Datos puntos'!$A$25:$A$53,'Datos puntos'!$B$25:$B$53)),"")</f>
        <v/>
      </c>
      <c r="P28" s="183" t="str">
        <f>IF(Tabla15612172227[[#This Row],[Puntos scratch]]="","NO PUNTÚA",SUM(Tabla15612172227[[#This Row],[Puntos scratch]],Tabla15612172227[[#This Row],[Puntos clase]])*2)</f>
        <v>NO PUNTÚA</v>
      </c>
      <c r="Q28" s="183" t="str">
        <f>IF(AND(G28="M",Tabla15612172227[[#This Row],[POS]]&lt;&gt;"AB",Tabla15612172227[[#This Row],[POS]]&lt;&gt;"DSQ"),COUNTIF($G$6:G28,"M"),"")</f>
        <v/>
      </c>
      <c r="R28" s="183" t="str">
        <f>IF(G28="M",IF(Tabla15612172227[[#This Row],[Tiempo]]="AB","",LOOKUP(Tabla15612172227[[#This Row],[CLAS SCRATCH2]],'Datos puntos'!$A$2:$A$23,'Datos puntos'!$B$2:$B$23)),"")</f>
        <v/>
      </c>
      <c r="S28" s="183" t="str">
        <f>IF(AND(G28="M",Tabla15612172227[[#This Row],[POS]]&lt;&gt;"AB",Tabla15612172227[[#This Row],[POS]]&lt;&gt;"DSQ"),COUNTIFS($J$6:J28,Tabla15612172227[[#This Row],[Clase]],$G$6:G28,"M"),"")</f>
        <v/>
      </c>
      <c r="T28" s="183" t="str">
        <f>IF(G28="M",IF(Tabla15612172227[[#This Row],[Tiempo]]="AB","",LOOKUP(Tabla15612172227[[#This Row],[CLAS CLASE2]],'Datos puntos'!$A$25:$A$53,'Datos puntos'!$B$25:$B$53)),"")</f>
        <v/>
      </c>
      <c r="U28" s="183" t="str">
        <f>IF(Tabla15612172227[[#This Row],[Puntos scratch3]]="","NO PUNTÚA",SUM(Tabla15612172227[[#This Row],[Puntos scratch3]],Tabla15612172227[[#This Row],[Puntos clase5]])*2)</f>
        <v>NO PUNTÚA</v>
      </c>
    </row>
    <row r="29" spans="1:24" x14ac:dyDescent="0.35">
      <c r="A29" s="176"/>
      <c r="B29" s="176"/>
      <c r="C29" s="179"/>
      <c r="D29" s="179"/>
      <c r="E29" s="179"/>
      <c r="F29" s="179"/>
      <c r="G29" s="179"/>
      <c r="H29" s="179"/>
      <c r="I29" s="180"/>
      <c r="J29" s="180"/>
      <c r="K29" s="181"/>
      <c r="L29" s="182"/>
      <c r="M29" s="182"/>
      <c r="N29" s="182"/>
      <c r="O29" s="183"/>
      <c r="P29" s="183"/>
      <c r="Q29" s="183"/>
      <c r="R29" s="183"/>
      <c r="S29" s="183"/>
      <c r="T29" s="183"/>
      <c r="U29" s="183"/>
    </row>
    <row r="30" spans="1:24" ht="15.5" x14ac:dyDescent="0.35">
      <c r="A30" s="174" t="s">
        <v>186</v>
      </c>
      <c r="B30" s="174"/>
      <c r="C30" s="174"/>
      <c r="D30" s="174"/>
      <c r="E30" s="174"/>
      <c r="F30" s="174"/>
      <c r="G30" s="174"/>
      <c r="H30" s="174"/>
      <c r="I30" s="174"/>
      <c r="J30" s="174"/>
      <c r="K30" s="174"/>
      <c r="L30" s="175"/>
      <c r="M30" s="175"/>
      <c r="N30" s="174" t="s">
        <v>1</v>
      </c>
      <c r="P30" s="199"/>
      <c r="Q30" s="199"/>
      <c r="R30" s="199"/>
      <c r="S30" s="202" t="s">
        <v>166</v>
      </c>
      <c r="U30" s="199"/>
    </row>
    <row r="31" spans="1:24" x14ac:dyDescent="0.35">
      <c r="A31" s="213" t="s">
        <v>190</v>
      </c>
      <c r="B31" s="186" t="s">
        <v>191</v>
      </c>
      <c r="C31" s="186" t="s">
        <v>192</v>
      </c>
      <c r="D31" s="186" t="s">
        <v>193</v>
      </c>
      <c r="E31" s="186" t="s">
        <v>194</v>
      </c>
      <c r="F31" s="186" t="s">
        <v>195</v>
      </c>
      <c r="G31" s="186" t="s">
        <v>196</v>
      </c>
      <c r="H31" s="186" t="s">
        <v>197</v>
      </c>
      <c r="I31" s="186" t="s">
        <v>198</v>
      </c>
      <c r="J31" s="186" t="s">
        <v>2</v>
      </c>
      <c r="K31" s="213" t="s">
        <v>199</v>
      </c>
      <c r="L31" s="207" t="s">
        <v>214</v>
      </c>
      <c r="M31" s="208" t="s">
        <v>217</v>
      </c>
      <c r="N31" s="208" t="s">
        <v>254</v>
      </c>
      <c r="O31" s="208" t="s">
        <v>218</v>
      </c>
      <c r="P31" s="208" t="s">
        <v>219</v>
      </c>
      <c r="Q31" s="209" t="s">
        <v>228</v>
      </c>
      <c r="R31" s="209" t="s">
        <v>229</v>
      </c>
      <c r="S31" s="209" t="s">
        <v>255</v>
      </c>
      <c r="T31" s="209" t="s">
        <v>230</v>
      </c>
      <c r="U31" s="209" t="s">
        <v>231</v>
      </c>
      <c r="V31" s="199"/>
      <c r="W31" s="199"/>
      <c r="X31" s="199"/>
    </row>
    <row r="32" spans="1:24" x14ac:dyDescent="0.35">
      <c r="A32" s="193">
        <v>1</v>
      </c>
      <c r="B32" s="193">
        <v>8</v>
      </c>
      <c r="C32" s="194" t="s">
        <v>232</v>
      </c>
      <c r="D32" s="194" t="s">
        <v>256</v>
      </c>
      <c r="E32" s="194" t="s">
        <v>168</v>
      </c>
      <c r="F32" s="194" t="s">
        <v>328</v>
      </c>
      <c r="G32" s="194" t="s">
        <v>168</v>
      </c>
      <c r="H32" s="194" t="s">
        <v>326</v>
      </c>
      <c r="I32" s="195" t="s">
        <v>186</v>
      </c>
      <c r="J32" s="195">
        <v>6</v>
      </c>
      <c r="K32" s="181"/>
      <c r="L32" s="183">
        <f>IF(AND(E32="M",Tabla32914192429[[#This Row],[POS]]&lt;&gt;"AB",Tabla32914192429[[#This Row],[POS]]&lt;&gt;"DSQ"),COUNTIF($E$32:E32,"M"),"")</f>
        <v>1</v>
      </c>
      <c r="M32" s="183">
        <f>IF(E32="M",IF(Tabla32914192429[[#This Row],[Tiempo]]="AB","",LOOKUP(Tabla32914192429[[#This Row],[CLAS SCRATCH]],'Datos puntos'!$A$2:$A$23,'Datos puntos'!$B$2:$B$23)),"")</f>
        <v>25</v>
      </c>
      <c r="N32" s="183">
        <f>Tabla32914192429[[#This Row],[CLAS SCRATCH]]</f>
        <v>1</v>
      </c>
      <c r="O32" s="183">
        <f>IF(E32="M",IF(Tabla32914192429[[#This Row],[Tiempo]]="AB","",LOOKUP(Tabla32914192429[[#This Row],[CLAS CLASE]],'Datos puntos'!$A$25:$A$53,'Datos puntos'!$B$25:$B$53)),"")</f>
        <v>10</v>
      </c>
      <c r="P32" s="183">
        <f>IF(Tabla32914192429[[#This Row],[Puntos scratch]]="","NO PUNTÚA",SUM(Tabla32914192429[[#This Row],[Puntos scratch]],Tabla32914192429[[#This Row],[Puntos clase]])*2)</f>
        <v>70</v>
      </c>
      <c r="Q32" s="183">
        <f>IF(AND(G32="M",Tabla32914192429[[#This Row],[POS]]&lt;&gt;"AB",Tabla32914192429[[#This Row],[POS]]&lt;&gt;"DSQ"),COUNTIF($G$32:G32,"M"),"")</f>
        <v>1</v>
      </c>
      <c r="R32" s="183">
        <f>IF(G32="M",IF(Tabla32914192429[[#This Row],[Tiempo]]="AB","",LOOKUP(Tabla32914192429[[#This Row],[CLAS SCRATCH2]],'Datos puntos'!$A$2:$A$23,'Datos puntos'!$B$2:$B$23)),"")</f>
        <v>25</v>
      </c>
      <c r="S32" s="183">
        <f>Tabla32914192429[[#This Row],[CLAS SCRATCH2]]</f>
        <v>1</v>
      </c>
      <c r="T32" s="183">
        <f>IF(G32="M",IF(Tabla32914192429[[#This Row],[Tiempo]]="AB","",LOOKUP(Tabla32914192429[[#This Row],[CLAS CLASE2]],'Datos puntos'!$A$25:$A$53,'Datos puntos'!$B$25:$B$53)),"")</f>
        <v>10</v>
      </c>
      <c r="U32" s="183">
        <f>IF(Tabla32914192429[[#This Row],[Puntos scratch3]]="","NO PUNTÚA",SUM(Tabla32914192429[[#This Row],[Puntos scratch3]],Tabla32914192429[[#This Row],[Puntos clase5]])*2)</f>
        <v>70</v>
      </c>
    </row>
    <row r="33" spans="1:24" x14ac:dyDescent="0.35">
      <c r="A33" s="193">
        <v>2</v>
      </c>
      <c r="B33" s="193">
        <v>10</v>
      </c>
      <c r="C33" s="194" t="s">
        <v>232</v>
      </c>
      <c r="D33" s="194" t="s">
        <v>257</v>
      </c>
      <c r="E33" s="194" t="s">
        <v>168</v>
      </c>
      <c r="F33" s="194" t="s">
        <v>436</v>
      </c>
      <c r="G33" s="194" t="s">
        <v>432</v>
      </c>
      <c r="H33" s="194" t="s">
        <v>326</v>
      </c>
      <c r="I33" s="195" t="s">
        <v>186</v>
      </c>
      <c r="J33" s="195">
        <v>6</v>
      </c>
      <c r="K33" s="187"/>
      <c r="L33" s="183">
        <f>IF(AND(E33="M",Tabla32914192429[[#This Row],[POS]]&lt;&gt;"AB",Tabla32914192429[[#This Row],[POS]]&lt;&gt;"DSQ"),COUNTIF($E$32:E33,"M"),"")</f>
        <v>2</v>
      </c>
      <c r="M33" s="183">
        <f>IF(E33="M",IF(Tabla32914192429[[#This Row],[Tiempo]]="AB","",LOOKUP(Tabla32914192429[[#This Row],[CLAS SCRATCH]],'Datos puntos'!$A$2:$A$23,'Datos puntos'!$B$2:$B$23)),"")</f>
        <v>20</v>
      </c>
      <c r="N33" s="183">
        <f>Tabla32914192429[[#This Row],[CLAS SCRATCH]]</f>
        <v>2</v>
      </c>
      <c r="O33" s="183">
        <f>IF(E33="M",IF(Tabla32914192429[[#This Row],[Tiempo]]="AB","",LOOKUP(Tabla32914192429[[#This Row],[CLAS CLASE]],'Datos puntos'!$A$25:$A$53,'Datos puntos'!$B$25:$B$53)),"")</f>
        <v>8</v>
      </c>
      <c r="P33" s="183">
        <f>IF(Tabla32914192429[[#This Row],[Puntos scratch]]="","NO PUNTÚA",SUM(Tabla32914192429[[#This Row],[Puntos scratch]],Tabla32914192429[[#This Row],[Puntos clase]])*2)</f>
        <v>56</v>
      </c>
      <c r="Q33" s="183" t="str">
        <f>IF(AND(G33="M",Tabla32914192429[[#This Row],[POS]]&lt;&gt;"AB",Tabla32914192429[[#This Row],[POS]]&lt;&gt;"DSQ"),COUNTIF($G$32:G33,"M"),"")</f>
        <v/>
      </c>
      <c r="R33" s="183" t="str">
        <f>IF(G33="M",IF(Tabla32914192429[[#This Row],[Tiempo]]="AB","",LOOKUP(Tabla32914192429[[#This Row],[CLAS SCRATCH2]],'Datos puntos'!$A$2:$A$23,'Datos puntos'!$B$2:$B$23)),"")</f>
        <v/>
      </c>
      <c r="S33" s="183" t="str">
        <f>Tabla32914192429[[#This Row],[CLAS SCRATCH2]]</f>
        <v/>
      </c>
      <c r="T33" s="183" t="str">
        <f>IF(G33="M",IF(Tabla32914192429[[#This Row],[Tiempo]]="AB","",LOOKUP(Tabla32914192429[[#This Row],[CLAS CLASE2]],'Datos puntos'!$A$25:$A$53,'Datos puntos'!$B$25:$B$53)),"")</f>
        <v/>
      </c>
      <c r="U33" s="183" t="str">
        <f>IF(Tabla32914192429[[#This Row],[Puntos scratch3]]="","NO PUNTÚA",SUM(Tabla32914192429[[#This Row],[Puntos scratch3]],Tabla32914192429[[#This Row],[Puntos clase5]])*2)</f>
        <v>NO PUNTÚA</v>
      </c>
    </row>
    <row r="34" spans="1:24" x14ac:dyDescent="0.35">
      <c r="A34" s="193">
        <v>3</v>
      </c>
      <c r="B34" s="193">
        <v>11</v>
      </c>
      <c r="C34" s="194" t="s">
        <v>232</v>
      </c>
      <c r="D34" s="194" t="s">
        <v>325</v>
      </c>
      <c r="E34" s="194" t="s">
        <v>168</v>
      </c>
      <c r="F34" s="194" t="s">
        <v>274</v>
      </c>
      <c r="G34" s="194" t="s">
        <v>168</v>
      </c>
      <c r="H34" s="194" t="s">
        <v>326</v>
      </c>
      <c r="I34" s="195" t="s">
        <v>186</v>
      </c>
      <c r="J34" s="195">
        <v>6</v>
      </c>
      <c r="K34" s="187"/>
      <c r="L34" s="183">
        <f>IF(AND(E34="M",Tabla32914192429[[#This Row],[POS]]&lt;&gt;"AB",Tabla32914192429[[#This Row],[POS]]&lt;&gt;"DSQ"),COUNTIF($E$32:E34,"M"),"")</f>
        <v>3</v>
      </c>
      <c r="M34" s="183">
        <f>IF(E34="M",IF(Tabla32914192429[[#This Row],[Tiempo]]="AB","",LOOKUP(Tabla32914192429[[#This Row],[CLAS SCRATCH]],'Datos puntos'!$A$2:$A$23,'Datos puntos'!$B$2:$B$23)),"")</f>
        <v>17</v>
      </c>
      <c r="N34" s="183">
        <f>Tabla32914192429[[#This Row],[CLAS SCRATCH]]</f>
        <v>3</v>
      </c>
      <c r="O34" s="183">
        <f>IF(E34="M",IF(Tabla32914192429[[#This Row],[Tiempo]]="AB","",LOOKUP(Tabla32914192429[[#This Row],[CLAS CLASE]],'Datos puntos'!$A$25:$A$53,'Datos puntos'!$B$25:$B$53)),"")</f>
        <v>6</v>
      </c>
      <c r="P34" s="183">
        <f>IF(Tabla32914192429[[#This Row],[Puntos scratch]]="","NO PUNTÚA",SUM(Tabla32914192429[[#This Row],[Puntos scratch]],Tabla32914192429[[#This Row],[Puntos clase]])*2)</f>
        <v>46</v>
      </c>
      <c r="Q34" s="183">
        <f>IF(AND(G34="M",Tabla32914192429[[#This Row],[POS]]&lt;&gt;"AB",Tabla32914192429[[#This Row],[POS]]&lt;&gt;"DSQ"),COUNTIF($G$32:G34,"M"),"")</f>
        <v>2</v>
      </c>
      <c r="R34" s="183">
        <f>IF(G34="M",IF(Tabla32914192429[[#This Row],[Tiempo]]="AB","",LOOKUP(Tabla32914192429[[#This Row],[CLAS SCRATCH2]],'Datos puntos'!$A$2:$A$23,'Datos puntos'!$B$2:$B$23)),"")</f>
        <v>20</v>
      </c>
      <c r="S34" s="183">
        <f>Tabla32914192429[[#This Row],[CLAS SCRATCH2]]</f>
        <v>2</v>
      </c>
      <c r="T34" s="183">
        <f>IF(G34="M",IF(Tabla32914192429[[#This Row],[Tiempo]]="AB","",LOOKUP(Tabla32914192429[[#This Row],[CLAS CLASE2]],'Datos puntos'!$A$25:$A$53,'Datos puntos'!$B$25:$B$53)),"")</f>
        <v>8</v>
      </c>
      <c r="U34" s="183">
        <f>IF(Tabla32914192429[[#This Row],[Puntos scratch3]]="","NO PUNTÚA",SUM(Tabla32914192429[[#This Row],[Puntos scratch3]],Tabla32914192429[[#This Row],[Puntos clase5]])*2)</f>
        <v>56</v>
      </c>
    </row>
    <row r="35" spans="1:24" x14ac:dyDescent="0.35">
      <c r="A35" s="193"/>
      <c r="B35" s="193"/>
      <c r="C35" s="194"/>
      <c r="D35" s="194"/>
      <c r="E35" s="194"/>
      <c r="F35" s="194"/>
      <c r="G35" s="194"/>
      <c r="H35" s="194"/>
      <c r="I35" s="195"/>
      <c r="J35" s="195"/>
      <c r="K35" s="187"/>
      <c r="L35" s="183" t="str">
        <f>IF(AND(E35="M",Tabla32914192429[[#This Row],[POS]]&lt;&gt;"AB",Tabla32914192429[[#This Row],[POS]]&lt;&gt;"DSQ"),COUNTIF($E$32:E35,"M"),"")</f>
        <v/>
      </c>
      <c r="M35" s="183" t="str">
        <f>IF(E35="M",IF(Tabla32914192429[[#This Row],[Tiempo]]="AB","",LOOKUP(Tabla32914192429[[#This Row],[CLAS SCRATCH]],'Datos puntos'!$A$2:$A$23,'Datos puntos'!$B$2:$B$23)),"")</f>
        <v/>
      </c>
      <c r="N35" s="183" t="str">
        <f>Tabla32914192429[[#This Row],[CLAS SCRATCH]]</f>
        <v/>
      </c>
      <c r="O35" s="183" t="str">
        <f>IF(E35="M",IF(Tabla32914192429[[#This Row],[Tiempo]]="AB","",LOOKUP(Tabla32914192429[[#This Row],[CLAS CLASE]],'Datos puntos'!$A$25:$A$53,'Datos puntos'!$B$25:$B$53)),"")</f>
        <v/>
      </c>
      <c r="P35" s="183" t="str">
        <f>IF(Tabla32914192429[[#This Row],[Puntos scratch]]="","NO PUNTÚA",SUM(Tabla32914192429[[#This Row],[Puntos scratch]],Tabla32914192429[[#This Row],[Puntos clase]])*2)</f>
        <v>NO PUNTÚA</v>
      </c>
      <c r="Q35" s="183" t="str">
        <f>IF(AND(G35="M",Tabla32914192429[[#This Row],[POS]]&lt;&gt;"AB",Tabla32914192429[[#This Row],[POS]]&lt;&gt;"DSQ"),COUNTIF($G$32:G35,"M"),"")</f>
        <v/>
      </c>
      <c r="R35" s="183" t="str">
        <f>IF(G35="M",IF(Tabla32914192429[[#This Row],[Tiempo]]="AB","",LOOKUP(Tabla32914192429[[#This Row],[CLAS SCRATCH2]],'Datos puntos'!$A$2:$A$23,'Datos puntos'!$B$2:$B$23)),"")</f>
        <v/>
      </c>
      <c r="S35" s="183" t="str">
        <f>Tabla32914192429[[#This Row],[CLAS SCRATCH2]]</f>
        <v/>
      </c>
      <c r="T35" s="183" t="str">
        <f>IF(G35="M",IF(Tabla32914192429[[#This Row],[Tiempo]]="AB","",LOOKUP(Tabla32914192429[[#This Row],[CLAS CLASE2]],'Datos puntos'!$A$25:$A$53,'Datos puntos'!$B$25:$B$53)),"")</f>
        <v/>
      </c>
      <c r="U35" s="183" t="str">
        <f>IF(Tabla32914192429[[#This Row],[Puntos scratch3]]="","NO PUNTÚA",SUM(Tabla32914192429[[#This Row],[Puntos scratch3]],Tabla32914192429[[#This Row],[Puntos clase5]])*2)</f>
        <v>NO PUNTÚA</v>
      </c>
    </row>
    <row r="36" spans="1:24" ht="15.5" x14ac:dyDescent="0.35">
      <c r="A36" s="203" t="s">
        <v>261</v>
      </c>
      <c r="B36" s="203"/>
      <c r="C36" s="204"/>
      <c r="D36" s="204"/>
      <c r="E36" s="204"/>
      <c r="F36" s="204"/>
      <c r="G36" s="204"/>
      <c r="H36" s="204"/>
      <c r="I36" s="204"/>
      <c r="J36" s="204"/>
      <c r="K36" s="205"/>
      <c r="L36" s="189"/>
      <c r="M36" s="189"/>
      <c r="N36" s="174" t="s">
        <v>1</v>
      </c>
      <c r="O36" s="174"/>
      <c r="P36" s="199"/>
      <c r="Q36" s="199"/>
      <c r="R36" s="199"/>
      <c r="S36" s="176" t="s">
        <v>166</v>
      </c>
      <c r="T36" s="202"/>
      <c r="U36" s="199"/>
    </row>
    <row r="37" spans="1:24" x14ac:dyDescent="0.35">
      <c r="A37" s="193" t="s">
        <v>190</v>
      </c>
      <c r="B37" s="193" t="s">
        <v>191</v>
      </c>
      <c r="C37" s="194" t="s">
        <v>192</v>
      </c>
      <c r="D37" s="194" t="s">
        <v>193</v>
      </c>
      <c r="E37" s="194" t="s">
        <v>262</v>
      </c>
      <c r="F37" s="194" t="s">
        <v>195</v>
      </c>
      <c r="G37" s="194" t="s">
        <v>263</v>
      </c>
      <c r="H37" s="194" t="s">
        <v>197</v>
      </c>
      <c r="I37" s="195" t="s">
        <v>198</v>
      </c>
      <c r="J37" s="195" t="s">
        <v>2</v>
      </c>
      <c r="K37" s="187" t="s">
        <v>199</v>
      </c>
      <c r="L37" s="210" t="s">
        <v>214</v>
      </c>
      <c r="M37" s="211" t="s">
        <v>217</v>
      </c>
      <c r="N37" s="211" t="s">
        <v>254</v>
      </c>
      <c r="O37" s="211" t="s">
        <v>218</v>
      </c>
      <c r="P37" s="211" t="s">
        <v>219</v>
      </c>
      <c r="Q37" s="212" t="s">
        <v>228</v>
      </c>
      <c r="R37" s="212" t="s">
        <v>229</v>
      </c>
      <c r="S37" s="212" t="s">
        <v>255</v>
      </c>
      <c r="T37" s="212" t="s">
        <v>230</v>
      </c>
      <c r="U37" s="212" t="s">
        <v>231</v>
      </c>
      <c r="V37" s="199"/>
      <c r="W37" s="199"/>
      <c r="X37" s="199"/>
    </row>
    <row r="38" spans="1:24" x14ac:dyDescent="0.35">
      <c r="A38" s="193">
        <v>1</v>
      </c>
      <c r="B38" s="193">
        <v>33</v>
      </c>
      <c r="C38" s="194" t="s">
        <v>437</v>
      </c>
      <c r="D38" s="194" t="s">
        <v>342</v>
      </c>
      <c r="E38" s="234" t="s">
        <v>168</v>
      </c>
      <c r="F38" s="194" t="s">
        <v>438</v>
      </c>
      <c r="G38" s="194" t="s">
        <v>173</v>
      </c>
      <c r="H38" s="194" t="s">
        <v>266</v>
      </c>
      <c r="I38" s="195" t="s">
        <v>187</v>
      </c>
      <c r="J38" s="195">
        <v>7</v>
      </c>
      <c r="K38" s="187"/>
      <c r="L38" s="182">
        <f>IF(AND(E38="M",Tabla71015202530[[#This Row],[POS]]&lt;&gt;"AB",Tabla71015202530[[#This Row],[POS]]&lt;&gt;"DSQ"),COUNTIF($E$38:E38,"M"),"")</f>
        <v>1</v>
      </c>
      <c r="M38" s="182">
        <f>IF(E38="M",IF(Tabla71015202530[[#This Row],[Tiempo]]="AB","",LOOKUP(Tabla71015202530[[#This Row],[CLAS SCRATCH]],'Datos puntos'!$A$2:$A$23,'Datos puntos'!$B$2:$B$23)),"")</f>
        <v>25</v>
      </c>
      <c r="N38" s="182">
        <f>Tabla71015202530[[#This Row],[CLAS SCRATCH]]</f>
        <v>1</v>
      </c>
      <c r="O38" s="182">
        <f>IF(E38="M",IF(Tabla71015202530[[#This Row],[Tiempo]]="AB","",LOOKUP(Tabla71015202530[[#This Row],[CLAS CLASE]],'Datos puntos'!$A$25:$A$53,'Datos puntos'!$B$25:$B$53)),"")</f>
        <v>10</v>
      </c>
      <c r="P38" s="182">
        <f>IF(Tabla71015202530[[#This Row],[Puntos scratch]]="","NO PUNTÚA",SUM(Tabla71015202530[[#This Row],[Puntos scratch]],Tabla71015202530[[#This Row],[Puntos clase]])*2)</f>
        <v>70</v>
      </c>
      <c r="Q38" s="182" t="str">
        <f>IF(AND(G38="M",Tabla71015202530[[#This Row],[POS]]&lt;&gt;"AB",Tabla71015202530[[#This Row],[POS]]&lt;&gt;"DSQ"),COUNTIF($G$38:G38,"M"),"")</f>
        <v/>
      </c>
      <c r="R38" s="182" t="str">
        <f>IF(G38="M",IF(Tabla71015202530[[#This Row],[Tiempo]]="AB","",LOOKUP(Tabla71015202530[[#This Row],[CLAS SCRATCH2]],'Datos puntos'!$A$2:$A$23,'Datos puntos'!$B$2:$B$23)),"")</f>
        <v/>
      </c>
      <c r="S38" s="182" t="str">
        <f>Tabla71015202530[[#This Row],[CLAS SCRATCH2]]</f>
        <v/>
      </c>
      <c r="T38" s="182" t="str">
        <f>IF(G38="M",IF(Tabla71015202530[[#This Row],[Tiempo]]="AB","",LOOKUP(Tabla71015202530[[#This Row],[CLAS CLASE2]],'Datos puntos'!$A$25:$A$53,'Datos puntos'!$B$25:$B$53)),"")</f>
        <v/>
      </c>
      <c r="U38" s="182" t="str">
        <f>IF(Tabla71015202530[[#This Row],[Puntos scratch3]]="","NO PUNTÚA",SUM(Tabla71015202530[[#This Row],[Puntos scratch3]],Tabla71015202530[[#This Row],[Puntos clase5]])*2)</f>
        <v>NO PUNTÚA</v>
      </c>
    </row>
    <row r="39" spans="1:24" x14ac:dyDescent="0.35">
      <c r="A39" s="193">
        <v>2</v>
      </c>
      <c r="B39" s="193">
        <v>32</v>
      </c>
      <c r="C39" s="194" t="s">
        <v>330</v>
      </c>
      <c r="D39" s="206" t="s">
        <v>331</v>
      </c>
      <c r="E39" s="267" t="s">
        <v>168</v>
      </c>
      <c r="F39" s="194" t="s">
        <v>358</v>
      </c>
      <c r="G39" s="194" t="s">
        <v>168</v>
      </c>
      <c r="H39" s="194" t="s">
        <v>329</v>
      </c>
      <c r="I39" s="195" t="s">
        <v>187</v>
      </c>
      <c r="J39" s="195">
        <v>7</v>
      </c>
      <c r="K39" s="187"/>
      <c r="L39" s="182">
        <f>IF(AND(E39="M",Tabla71015202530[[#This Row],[POS]]&lt;&gt;"AB",Tabla71015202530[[#This Row],[POS]]&lt;&gt;"DSQ"),COUNTIF($E$38:E39,"M"),"")</f>
        <v>2</v>
      </c>
      <c r="M39" s="182">
        <f>IF(E39="M",IF(Tabla71015202530[[#This Row],[Tiempo]]="AB","",LOOKUP(Tabla71015202530[[#This Row],[CLAS SCRATCH]],'Datos puntos'!$A$2:$A$23,'Datos puntos'!$B$2:$B$23)),"")</f>
        <v>20</v>
      </c>
      <c r="N39" s="182">
        <f>Tabla71015202530[[#This Row],[CLAS SCRATCH]]</f>
        <v>2</v>
      </c>
      <c r="O39" s="182">
        <f>IF(E39="M",IF(Tabla71015202530[[#This Row],[Tiempo]]="AB","",LOOKUP(Tabla71015202530[[#This Row],[CLAS CLASE]],'Datos puntos'!$A$25:$A$53,'Datos puntos'!$B$25:$B$53)),"")</f>
        <v>8</v>
      </c>
      <c r="P39" s="182">
        <f>IF(Tabla71015202530[[#This Row],[Puntos scratch]]="","NO PUNTÚA",SUM(Tabla71015202530[[#This Row],[Puntos scratch]],Tabla71015202530[[#This Row],[Puntos clase]])*2)</f>
        <v>56</v>
      </c>
      <c r="Q39" s="182">
        <f>IF(AND(G39="M",Tabla71015202530[[#This Row],[POS]]&lt;&gt;"AB",Tabla71015202530[[#This Row],[POS]]&lt;&gt;"DSQ"),COUNTIF($G$38:G39,"M"),"")</f>
        <v>1</v>
      </c>
      <c r="R39" s="182">
        <f>IF(G39="M",IF(Tabla71015202530[[#This Row],[Tiempo]]="AB","",LOOKUP(Tabla71015202530[[#This Row],[CLAS SCRATCH2]],'Datos puntos'!$A$2:$A$23,'Datos puntos'!$B$2:$B$23)),"")</f>
        <v>25</v>
      </c>
      <c r="S39" s="182">
        <f>Tabla71015202530[[#This Row],[CLAS SCRATCH2]]</f>
        <v>1</v>
      </c>
      <c r="T39" s="182">
        <f>IF(G39="M",IF(Tabla71015202530[[#This Row],[Tiempo]]="AB","",LOOKUP(Tabla71015202530[[#This Row],[CLAS CLASE2]],'Datos puntos'!$A$25:$A$53,'Datos puntos'!$B$25:$B$53)),"")</f>
        <v>10</v>
      </c>
      <c r="U39" s="182">
        <f>IF(Tabla71015202530[[#This Row],[Puntos scratch3]]="","NO PUNTÚA",SUM(Tabla71015202530[[#This Row],[Puntos scratch3]],Tabla71015202530[[#This Row],[Puntos clase5]])*2)</f>
        <v>70</v>
      </c>
    </row>
    <row r="40" spans="1:24" x14ac:dyDescent="0.35">
      <c r="A40" s="193">
        <v>3</v>
      </c>
      <c r="B40" s="193">
        <v>34</v>
      </c>
      <c r="C40" s="194" t="s">
        <v>362</v>
      </c>
      <c r="D40" s="206" t="s">
        <v>335</v>
      </c>
      <c r="E40" s="194" t="s">
        <v>168</v>
      </c>
      <c r="F40" s="194" t="s">
        <v>265</v>
      </c>
      <c r="G40" s="194" t="s">
        <v>168</v>
      </c>
      <c r="H40" s="194" t="s">
        <v>336</v>
      </c>
      <c r="I40" s="195" t="s">
        <v>187</v>
      </c>
      <c r="J40" s="195">
        <v>7</v>
      </c>
      <c r="K40" s="187"/>
      <c r="L40" s="182">
        <f>IF(AND(E40="M",Tabla71015202530[[#This Row],[POS]]&lt;&gt;"AB",Tabla71015202530[[#This Row],[POS]]&lt;&gt;"DSQ"),COUNTIF($E$38:E40,"M"),"")</f>
        <v>3</v>
      </c>
      <c r="M40" s="182">
        <f>IF(E40="M",IF(Tabla71015202530[[#This Row],[Tiempo]]="AB","",LOOKUP(Tabla71015202530[[#This Row],[CLAS SCRATCH]],'Datos puntos'!$A$2:$A$23,'Datos puntos'!$B$2:$B$23)),"")</f>
        <v>17</v>
      </c>
      <c r="N40" s="182">
        <f>Tabla71015202530[[#This Row],[CLAS SCRATCH]]</f>
        <v>3</v>
      </c>
      <c r="O40" s="182">
        <f>IF(E40="M",IF(Tabla71015202530[[#This Row],[Tiempo]]="AB","",LOOKUP(Tabla71015202530[[#This Row],[CLAS CLASE]],'Datos puntos'!$A$25:$A$53,'Datos puntos'!$B$25:$B$53)),"")</f>
        <v>6</v>
      </c>
      <c r="P40" s="182">
        <f>IF(Tabla71015202530[[#This Row],[Puntos scratch]]="","NO PUNTÚA",SUM(Tabla71015202530[[#This Row],[Puntos scratch]],Tabla71015202530[[#This Row],[Puntos clase]])*2)</f>
        <v>46</v>
      </c>
      <c r="Q40" s="182">
        <f>IF(AND(G40="M",Tabla71015202530[[#This Row],[POS]]&lt;&gt;"AB",Tabla71015202530[[#This Row],[POS]]&lt;&gt;"DSQ"),COUNTIF($G$38:G40,"M"),"")</f>
        <v>2</v>
      </c>
      <c r="R40" s="182">
        <f>IF(G40="M",IF(Tabla71015202530[[#This Row],[Tiempo]]="AB","",LOOKUP(Tabla71015202530[[#This Row],[CLAS SCRATCH2]],'Datos puntos'!$A$2:$A$23,'Datos puntos'!$B$2:$B$23)),"")</f>
        <v>20</v>
      </c>
      <c r="S40" s="182">
        <f>Tabla71015202530[[#This Row],[CLAS SCRATCH2]]</f>
        <v>2</v>
      </c>
      <c r="T40" s="182">
        <f>IF(G40="M",IF(Tabla71015202530[[#This Row],[Tiempo]]="AB","",LOOKUP(Tabla71015202530[[#This Row],[CLAS CLASE2]],'Datos puntos'!$A$25:$A$53,'Datos puntos'!$B$25:$B$53)),"")</f>
        <v>8</v>
      </c>
      <c r="U40" s="182">
        <f>IF(Tabla71015202530[[#This Row],[Puntos scratch3]]="","NO PUNTÚA",SUM(Tabla71015202530[[#This Row],[Puntos scratch3]],Tabla71015202530[[#This Row],[Puntos clase5]])*2)</f>
        <v>56</v>
      </c>
    </row>
    <row r="41" spans="1:24" x14ac:dyDescent="0.35">
      <c r="A41" s="193"/>
      <c r="B41" s="193"/>
      <c r="C41" s="194"/>
      <c r="D41" s="206"/>
      <c r="E41" s="194"/>
      <c r="F41" s="194"/>
      <c r="G41" s="194"/>
      <c r="H41" s="194"/>
      <c r="I41" s="195"/>
      <c r="J41" s="195"/>
      <c r="K41" s="187"/>
      <c r="L41" s="182"/>
      <c r="M41" s="182"/>
      <c r="N41" s="182"/>
      <c r="O41" s="182"/>
      <c r="P41" s="182"/>
      <c r="Q41" s="270"/>
      <c r="R41" s="182"/>
      <c r="S41" s="182"/>
      <c r="T41" s="182"/>
      <c r="U41" s="182"/>
    </row>
    <row r="42" spans="1:24" ht="15.5" x14ac:dyDescent="0.35">
      <c r="A42" s="174" t="s">
        <v>260</v>
      </c>
      <c r="B42" s="174"/>
      <c r="C42" s="174"/>
      <c r="D42" s="174"/>
      <c r="E42" s="174"/>
      <c r="F42" s="174"/>
      <c r="G42" s="174"/>
      <c r="H42" s="174"/>
      <c r="I42" s="174"/>
      <c r="J42" s="174"/>
      <c r="K42" s="174"/>
      <c r="L42" s="175"/>
      <c r="M42" s="175"/>
      <c r="N42" s="174" t="s">
        <v>1</v>
      </c>
      <c r="O42" s="174"/>
      <c r="P42" s="199"/>
      <c r="Q42" s="199"/>
      <c r="R42" s="199"/>
      <c r="S42" s="176" t="s">
        <v>166</v>
      </c>
      <c r="T42" s="202"/>
      <c r="U42" s="199"/>
    </row>
    <row r="43" spans="1:24" x14ac:dyDescent="0.35">
      <c r="A43" s="213" t="s">
        <v>190</v>
      </c>
      <c r="B43" s="186" t="s">
        <v>191</v>
      </c>
      <c r="C43" s="186" t="s">
        <v>192</v>
      </c>
      <c r="D43" s="186" t="s">
        <v>193</v>
      </c>
      <c r="E43" s="186" t="s">
        <v>194</v>
      </c>
      <c r="F43" s="186" t="s">
        <v>195</v>
      </c>
      <c r="G43" s="186" t="s">
        <v>196</v>
      </c>
      <c r="H43" s="186" t="s">
        <v>197</v>
      </c>
      <c r="I43" s="186" t="s">
        <v>198</v>
      </c>
      <c r="J43" s="186" t="s">
        <v>2</v>
      </c>
      <c r="K43" s="213" t="s">
        <v>199</v>
      </c>
      <c r="L43" s="214" t="s">
        <v>214</v>
      </c>
      <c r="M43" s="214" t="s">
        <v>217</v>
      </c>
      <c r="N43" s="214" t="s">
        <v>254</v>
      </c>
      <c r="O43" s="214" t="s">
        <v>218</v>
      </c>
      <c r="P43" s="214" t="s">
        <v>219</v>
      </c>
      <c r="Q43" s="215" t="s">
        <v>228</v>
      </c>
      <c r="R43" s="215" t="s">
        <v>229</v>
      </c>
      <c r="S43" s="215" t="s">
        <v>255</v>
      </c>
      <c r="T43" s="215" t="s">
        <v>230</v>
      </c>
      <c r="U43" s="215" t="s">
        <v>231</v>
      </c>
    </row>
    <row r="44" spans="1:24" x14ac:dyDescent="0.35">
      <c r="A44" s="188">
        <v>1</v>
      </c>
      <c r="B44" s="176">
        <v>37</v>
      </c>
      <c r="C44" s="179" t="s">
        <v>232</v>
      </c>
      <c r="D44" s="179" t="s">
        <v>270</v>
      </c>
      <c r="E44" s="179" t="s">
        <v>168</v>
      </c>
      <c r="F44" s="179" t="s">
        <v>321</v>
      </c>
      <c r="G44" s="179" t="s">
        <v>168</v>
      </c>
      <c r="H44" s="179" t="s">
        <v>397</v>
      </c>
      <c r="I44" s="180" t="s">
        <v>431</v>
      </c>
      <c r="J44" s="180">
        <v>8</v>
      </c>
      <c r="K44" s="187"/>
      <c r="L44" s="183">
        <f>IF(AND(E44="M",Tabla2713182328[[#This Row],[POS]]&lt;&gt;"AB",Tabla2713182328[[#This Row],[POS]]&lt;&gt;"DSQ"),COUNTIF($E$44:E44,"M"),"")</f>
        <v>1</v>
      </c>
      <c r="M44" s="183">
        <f>IF(E44="M",IF(Tabla2713182328[[#This Row],[Tiempo]]="AB","",LOOKUP(Tabla2713182328[[#This Row],[CLAS SCRATCH]],'Datos puntos'!$A$2:$A$23,'Datos puntos'!$B$2:$B$23)),"")</f>
        <v>25</v>
      </c>
      <c r="N44" s="183">
        <f>Tabla2713182328[[#This Row],[CLAS SCRATCH]]</f>
        <v>1</v>
      </c>
      <c r="O44" s="183">
        <f>IF(E44="M",IF(Tabla2713182328[[#This Row],[Tiempo]]="AB","",LOOKUP(Tabla2713182328[[#This Row],[CLAS CLASE]],'Datos puntos'!$A$25:$A$53,'Datos puntos'!$B$25:$B$53)),"")</f>
        <v>10</v>
      </c>
      <c r="P44" s="183">
        <f>IF(Tabla2713182328[[#This Row],[Puntos scratch]]="","NO PUNTÚA",SUM(Tabla2713182328[[#This Row],[Puntos scratch]],Tabla2713182328[[#This Row],[Puntos clase]])*2)</f>
        <v>70</v>
      </c>
      <c r="Q44" s="183">
        <f>IF(AND(G44="M",Tabla2713182328[[#This Row],[POS]]&lt;&gt;"AB",Tabla2713182328[[#This Row],[POS]]&lt;&gt;"DSQ"),COUNTIF($G$44:G44,"M"),"")</f>
        <v>1</v>
      </c>
      <c r="R44" s="183">
        <f>IF(G44="M",IF(Tabla2713182328[[#This Row],[Tiempo]]="AB","",LOOKUP(Tabla2713182328[[#This Row],[CLAS SCRATCH2]],'Datos puntos'!$A$2:$A$23,'Datos puntos'!$B$2:$B$23)),"")</f>
        <v>25</v>
      </c>
      <c r="S44" s="183">
        <f>Tabla2713182328[[#This Row],[CLAS SCRATCH2]]</f>
        <v>1</v>
      </c>
      <c r="T44" s="183">
        <f>IF(G44="M",IF(Tabla2713182328[[#This Row],[Tiempo]]="AB","",LOOKUP(Tabla2713182328[[#This Row],[CLAS CLASE2]],'Datos puntos'!$A$25:$A$53,'Datos puntos'!$B$25:$B$53)),"")</f>
        <v>10</v>
      </c>
      <c r="U44" s="183">
        <f>IF(Tabla2713182328[[#This Row],[Puntos scratch]]="","NO PUNTÚA",SUM(Tabla2713182328[[#This Row],[Puntos scratch]],Tabla2713182328[[#This Row],[Puntos clase]])*2)</f>
        <v>70</v>
      </c>
    </row>
    <row r="45" spans="1:24" x14ac:dyDescent="0.35">
      <c r="A45" s="193">
        <v>2</v>
      </c>
      <c r="B45" s="176">
        <v>36</v>
      </c>
      <c r="C45" s="179" t="s">
        <v>189</v>
      </c>
      <c r="D45" s="179" t="s">
        <v>267</v>
      </c>
      <c r="E45" s="179" t="s">
        <v>168</v>
      </c>
      <c r="F45" s="179" t="s">
        <v>268</v>
      </c>
      <c r="G45" s="179" t="s">
        <v>168</v>
      </c>
      <c r="H45" s="179" t="s">
        <v>440</v>
      </c>
      <c r="I45" s="180" t="s">
        <v>431</v>
      </c>
      <c r="J45" s="180">
        <v>8</v>
      </c>
      <c r="K45" s="187"/>
      <c r="L45" s="183">
        <f>IF(AND(E45="M",Tabla2713182328[[#This Row],[POS]]&lt;&gt;"AB",Tabla2713182328[[#This Row],[POS]]&lt;&gt;"DSQ"),COUNTIF($E$44:E45,"M"),"")</f>
        <v>2</v>
      </c>
      <c r="M45" s="183">
        <f>IF(E45="M",IF(Tabla2713182328[[#This Row],[Tiempo]]="AB","",LOOKUP(Tabla2713182328[[#This Row],[CLAS SCRATCH]],'Datos puntos'!$A$2:$A$23,'Datos puntos'!$B$2:$B$23)),"")</f>
        <v>20</v>
      </c>
      <c r="N45" s="183">
        <f>Tabla2713182328[[#This Row],[CLAS SCRATCH]]</f>
        <v>2</v>
      </c>
      <c r="O45" s="183">
        <f>IF(E45="M",IF(Tabla2713182328[[#This Row],[Tiempo]]="AB","",LOOKUP(Tabla2713182328[[#This Row],[CLAS CLASE]],'Datos puntos'!$A$25:$A$53,'Datos puntos'!$B$25:$B$53)),"")</f>
        <v>8</v>
      </c>
      <c r="P45" s="183">
        <f>IF(Tabla2713182328[[#This Row],[Puntos scratch]]="","NO PUNTÚA",SUM(Tabla2713182328[[#This Row],[Puntos scratch]],Tabla2713182328[[#This Row],[Puntos clase]])*2)</f>
        <v>56</v>
      </c>
      <c r="Q45" s="183">
        <f>IF(AND(G45="M",Tabla2713182328[[#This Row],[POS]]&lt;&gt;"AB",Tabla2713182328[[#This Row],[POS]]&lt;&gt;"DSQ"),COUNTIF($G$44:G45,"M"),"")</f>
        <v>2</v>
      </c>
      <c r="R45" s="183">
        <f>IF(G45="M",IF(Tabla2713182328[[#This Row],[Tiempo]]="AB","",LOOKUP(Tabla2713182328[[#This Row],[CLAS SCRATCH2]],'Datos puntos'!$A$2:$A$23,'Datos puntos'!$B$2:$B$23)),"")</f>
        <v>20</v>
      </c>
      <c r="S45" s="183">
        <f>Tabla2713182328[[#This Row],[CLAS SCRATCH2]]</f>
        <v>2</v>
      </c>
      <c r="T45" s="183">
        <f>IF(G45="M",IF(Tabla2713182328[[#This Row],[Tiempo]]="AB","",LOOKUP(Tabla2713182328[[#This Row],[CLAS CLASE2]],'Datos puntos'!$A$25:$A$53,'Datos puntos'!$B$25:$B$53)),"")</f>
        <v>8</v>
      </c>
      <c r="U45" s="183">
        <f>IF(Tabla2713182328[[#This Row],[Puntos scratch]]="","NO PUNTÚA",SUM(Tabla2713182328[[#This Row],[Puntos scratch]],Tabla2713182328[[#This Row],[Puntos clase]])*2)</f>
        <v>56</v>
      </c>
    </row>
    <row r="46" spans="1:24" x14ac:dyDescent="0.35">
      <c r="A46" s="188">
        <v>3</v>
      </c>
      <c r="B46" s="176">
        <v>38</v>
      </c>
      <c r="C46" s="179" t="s">
        <v>401</v>
      </c>
      <c r="D46" s="179" t="s">
        <v>394</v>
      </c>
      <c r="E46" s="179" t="s">
        <v>168</v>
      </c>
      <c r="F46" s="179" t="s">
        <v>324</v>
      </c>
      <c r="G46" s="179" t="s">
        <v>168</v>
      </c>
      <c r="H46" s="179" t="s">
        <v>441</v>
      </c>
      <c r="I46" s="180" t="s">
        <v>431</v>
      </c>
      <c r="J46" s="180">
        <v>8</v>
      </c>
      <c r="K46" s="187"/>
      <c r="L46" s="183">
        <f>IF(AND(E46="M",Tabla2713182328[[#This Row],[POS]]&lt;&gt;"AB",Tabla2713182328[[#This Row],[POS]]&lt;&gt;"DSQ"),COUNTIF($E$44:E46,"M"),"")</f>
        <v>3</v>
      </c>
      <c r="M46" s="183">
        <f>IF(E46="M",IF(Tabla2713182328[[#This Row],[Tiempo]]="AB","",LOOKUP(Tabla2713182328[[#This Row],[CLAS SCRATCH]],'Datos puntos'!$A$2:$A$23,'Datos puntos'!$B$2:$B$23)),"")</f>
        <v>17</v>
      </c>
      <c r="N46" s="183">
        <f>Tabla2713182328[[#This Row],[CLAS SCRATCH]]</f>
        <v>3</v>
      </c>
      <c r="O46" s="183">
        <f>IF(E46="M",IF(Tabla2713182328[[#This Row],[Tiempo]]="AB","",LOOKUP(Tabla2713182328[[#This Row],[CLAS CLASE]],'Datos puntos'!$A$25:$A$53,'Datos puntos'!$B$25:$B$53)),"")</f>
        <v>6</v>
      </c>
      <c r="P46" s="183">
        <f>IF(Tabla2713182328[[#This Row],[Puntos scratch]]="","NO PUNTÚA",SUM(Tabla2713182328[[#This Row],[Puntos scratch]],Tabla2713182328[[#This Row],[Puntos clase]])*2)</f>
        <v>46</v>
      </c>
      <c r="Q46" s="183">
        <f>IF(AND(G46="M",Tabla2713182328[[#This Row],[POS]]&lt;&gt;"AB",Tabla2713182328[[#This Row],[POS]]&lt;&gt;"DSQ"),COUNTIF($G$44:G46,"M"),"")</f>
        <v>3</v>
      </c>
      <c r="R46" s="183">
        <f>IF(G46="M",IF(Tabla2713182328[[#This Row],[Tiempo]]="AB","",LOOKUP(Tabla2713182328[[#This Row],[CLAS SCRATCH2]],'Datos puntos'!$A$2:$A$23,'Datos puntos'!$B$2:$B$23)),"")</f>
        <v>17</v>
      </c>
      <c r="S46" s="183">
        <f>Tabla2713182328[[#This Row],[CLAS SCRATCH2]]</f>
        <v>3</v>
      </c>
      <c r="T46" s="183">
        <f>IF(G46="M",IF(Tabla2713182328[[#This Row],[Tiempo]]="AB","",LOOKUP(Tabla2713182328[[#This Row],[CLAS CLASE2]],'Datos puntos'!$A$25:$A$53,'Datos puntos'!$B$25:$B$53)),"")</f>
        <v>6</v>
      </c>
      <c r="U46" s="183">
        <f>IF(Tabla2713182328[[#This Row],[Puntos scratch]]="","NO PUNTÚA",SUM(Tabla2713182328[[#This Row],[Puntos scratch]],Tabla2713182328[[#This Row],[Puntos clase]])*2)</f>
        <v>46</v>
      </c>
    </row>
    <row r="47" spans="1:24" x14ac:dyDescent="0.35">
      <c r="A47" s="193"/>
      <c r="B47" s="176"/>
      <c r="C47" s="179"/>
      <c r="D47" s="179"/>
      <c r="E47" s="179"/>
      <c r="F47" s="179"/>
      <c r="G47" s="179"/>
      <c r="H47" s="179"/>
      <c r="I47" s="180"/>
      <c r="J47" s="180"/>
      <c r="K47" s="187"/>
      <c r="L47" s="183" t="str">
        <f>IF(AND(E47="M",Tabla2713182328[[#This Row],[POS]]&lt;&gt;"AB",Tabla2713182328[[#This Row],[POS]]&lt;&gt;"DSQ"),COUNTIF($E$44:E47,"M"),"")</f>
        <v/>
      </c>
      <c r="M47" s="183" t="str">
        <f>IF(E47="M",IF(Tabla2713182328[[#This Row],[Tiempo]]="AB","",LOOKUP(Tabla2713182328[[#This Row],[CLAS SCRATCH]],'Datos puntos'!$A$2:$A$23,'Datos puntos'!$B$2:$B$23)),"")</f>
        <v/>
      </c>
      <c r="N47" s="183" t="str">
        <f>Tabla2713182328[[#This Row],[CLAS SCRATCH]]</f>
        <v/>
      </c>
      <c r="O47" s="183" t="str">
        <f>IF(E47="M",IF(Tabla2713182328[[#This Row],[Tiempo]]="AB","",LOOKUP(Tabla2713182328[[#This Row],[CLAS CLASE]],'Datos puntos'!$A$25:$A$53,'Datos puntos'!$B$25:$B$53)),"")</f>
        <v/>
      </c>
      <c r="P47" s="183" t="str">
        <f>IF(Tabla2713182328[[#This Row],[Puntos scratch]]="","NO PUNTÚA",SUM(Tabla2713182328[[#This Row],[Puntos scratch]],Tabla2713182328[[#This Row],[Puntos clase]])*2)</f>
        <v>NO PUNTÚA</v>
      </c>
      <c r="Q47" s="183" t="str">
        <f>IF(AND(G47="M",Tabla2713182328[[#This Row],[POS]]&lt;&gt;"AB",Tabla2713182328[[#This Row],[POS]]&lt;&gt;"DSQ"),COUNTIF($G$44:G47,"M"),"")</f>
        <v/>
      </c>
      <c r="R47" s="183" t="str">
        <f>IF(G47="M",IF(Tabla2713182328[[#This Row],[Tiempo]]="AB","",LOOKUP(Tabla2713182328[[#This Row],[CLAS SCRATCH2]],'Datos puntos'!$A$2:$A$23,'Datos puntos'!$B$2:$B$23)),"")</f>
        <v/>
      </c>
      <c r="S47" s="183" t="str">
        <f>Tabla2713182328[[#This Row],[CLAS SCRATCH2]]</f>
        <v/>
      </c>
      <c r="T47" s="183" t="str">
        <f>IF(G47="M",IF(Tabla2713182328[[#This Row],[Tiempo]]="AB","",LOOKUP(Tabla2713182328[[#This Row],[CLAS CLASE2]],'Datos puntos'!$A$25:$A$53,'Datos puntos'!$B$25:$B$53)),"")</f>
        <v/>
      </c>
      <c r="U47" s="183" t="str">
        <f>IF(Tabla2713182328[[#This Row],[Puntos scratch]]="","NO PUNTÚA",SUM(Tabla2713182328[[#This Row],[Puntos scratch]],Tabla2713182328[[#This Row],[Puntos clase]])*2)</f>
        <v>NO PUNTÚA</v>
      </c>
    </row>
    <row r="48" spans="1:24" x14ac:dyDescent="0.35">
      <c r="A48" s="193"/>
      <c r="B48" s="176"/>
      <c r="C48" s="179"/>
      <c r="D48" s="179"/>
      <c r="E48" s="179"/>
      <c r="F48" s="179"/>
      <c r="G48" s="179"/>
      <c r="H48" s="179"/>
      <c r="I48" s="180"/>
      <c r="J48" s="180"/>
      <c r="K48" s="187"/>
      <c r="L48" s="189"/>
      <c r="M48" s="189"/>
      <c r="N48" s="182"/>
      <c r="O48" s="183"/>
      <c r="P48" s="183"/>
      <c r="Q48" s="183"/>
      <c r="R48" s="183"/>
      <c r="S48" s="183"/>
      <c r="T48" s="183"/>
      <c r="U48" s="183"/>
    </row>
    <row r="49" spans="1:21" ht="15.5" x14ac:dyDescent="0.35">
      <c r="A49" s="174"/>
      <c r="B49" s="174"/>
      <c r="C49" s="174"/>
      <c r="D49" s="174"/>
      <c r="E49" s="174"/>
      <c r="F49" s="174"/>
      <c r="G49" s="174"/>
      <c r="H49" s="174"/>
      <c r="I49" s="174"/>
      <c r="J49" s="174"/>
      <c r="K49" s="174"/>
      <c r="L49" s="175" t="s">
        <v>430</v>
      </c>
      <c r="M49" s="175"/>
      <c r="N49" s="174"/>
      <c r="O49" s="174"/>
      <c r="P49" s="199"/>
      <c r="Q49" s="199"/>
      <c r="R49" s="199"/>
      <c r="S49" s="176"/>
      <c r="T49" s="202"/>
      <c r="U49" s="199"/>
    </row>
    <row r="50" spans="1:21" x14ac:dyDescent="0.35">
      <c r="A50" s="213" t="s">
        <v>190</v>
      </c>
      <c r="B50" s="186" t="s">
        <v>191</v>
      </c>
      <c r="C50" s="186" t="s">
        <v>192</v>
      </c>
      <c r="D50" s="186" t="s">
        <v>347</v>
      </c>
      <c r="E50" s="186" t="s">
        <v>194</v>
      </c>
      <c r="F50" s="186" t="s">
        <v>197</v>
      </c>
      <c r="G50" s="186" t="s">
        <v>198</v>
      </c>
      <c r="H50" s="186" t="s">
        <v>2</v>
      </c>
      <c r="I50" s="213" t="s">
        <v>199</v>
      </c>
      <c r="J50" s="214" t="s">
        <v>214</v>
      </c>
      <c r="K50" s="214" t="s">
        <v>217</v>
      </c>
      <c r="L50" s="214" t="s">
        <v>254</v>
      </c>
      <c r="M50" s="214" t="s">
        <v>218</v>
      </c>
      <c r="N50" s="214" t="s">
        <v>219</v>
      </c>
    </row>
    <row r="51" spans="1:21" x14ac:dyDescent="0.35">
      <c r="A51" s="188">
        <v>1</v>
      </c>
      <c r="B51" s="176"/>
      <c r="C51" s="179" t="s">
        <v>232</v>
      </c>
      <c r="D51" s="179" t="s">
        <v>461</v>
      </c>
      <c r="E51" s="179" t="s">
        <v>168</v>
      </c>
      <c r="F51" s="179" t="s">
        <v>397</v>
      </c>
      <c r="G51" s="180" t="s">
        <v>202</v>
      </c>
      <c r="H51" s="180">
        <v>8</v>
      </c>
      <c r="I51" s="187"/>
      <c r="J51" s="183">
        <f>IF(AND(E51="M",Tabla231116212631[[#This Row],[POS]]&lt;&gt;"AB",Tabla231116212631[[#This Row],[POS]]&lt;&gt;"DSQ"),COUNTIF($E$51:E51,"M"),"")</f>
        <v>1</v>
      </c>
      <c r="K51" s="183">
        <f>IF(E51="M",IF(Tabla231116212631[[#This Row],[Tiempo]]="AB","",LOOKUP(Tabla231116212631[[#This Row],[CLAS SCRATCH]],'Datos puntos'!$A$2:$A$23,'Datos puntos'!$B$2:$B$23)),"")</f>
        <v>25</v>
      </c>
      <c r="L51" s="183">
        <f>Tabla231116212631[[#This Row],[CLAS SCRATCH]]</f>
        <v>1</v>
      </c>
      <c r="M51" s="183">
        <f>IF(E51="M",IF(Tabla231116212631[[#This Row],[Tiempo]]="AB","",LOOKUP(Tabla231116212631[[#This Row],[CLAS CLASE]],'Datos puntos'!$A$25:$A$53,'Datos puntos'!$B$25:$B$53)),"")</f>
        <v>10</v>
      </c>
      <c r="N51" s="183">
        <f>IF(Tabla231116212631[[#This Row],[Puntos scratch]]="","NO PUNTÚA",SUM(Tabla231116212631[[#This Row],[Puntos scratch]],Tabla231116212631[[#This Row],[Puntos clase]])*2)</f>
        <v>70</v>
      </c>
    </row>
    <row r="52" spans="1:21" x14ac:dyDescent="0.35">
      <c r="A52" s="176">
        <v>2</v>
      </c>
      <c r="B52" s="176"/>
      <c r="C52" s="179" t="s">
        <v>189</v>
      </c>
      <c r="D52" s="179" t="s">
        <v>349</v>
      </c>
      <c r="E52" s="179" t="s">
        <v>168</v>
      </c>
      <c r="F52" s="179" t="s">
        <v>440</v>
      </c>
      <c r="G52" s="180" t="s">
        <v>202</v>
      </c>
      <c r="H52" s="180">
        <v>8</v>
      </c>
      <c r="I52" s="187"/>
      <c r="J52" s="183">
        <f>IF(AND(E52="M",Tabla231116212631[[#This Row],[POS]]&lt;&gt;"AB",Tabla231116212631[[#This Row],[POS]]&lt;&gt;"DSQ"),COUNTIF($E$51:E52,"M"),"")</f>
        <v>2</v>
      </c>
      <c r="K52" s="183">
        <f>IF(E52="M",IF(Tabla231116212631[[#This Row],[Tiempo]]="AB","",LOOKUP(Tabla231116212631[[#This Row],[CLAS SCRATCH]],'Datos puntos'!$A$2:$A$23,'Datos puntos'!$B$2:$B$23)),"")</f>
        <v>20</v>
      </c>
      <c r="L52" s="183">
        <f>Tabla231116212631[[#This Row],[CLAS SCRATCH]]</f>
        <v>2</v>
      </c>
      <c r="M52" s="183">
        <f>IF(E52="M",IF(Tabla231116212631[[#This Row],[Tiempo]]="AB","",LOOKUP(Tabla231116212631[[#This Row],[CLAS CLASE]],'Datos puntos'!$A$25:$A$53,'Datos puntos'!$B$25:$B$53)),"")</f>
        <v>8</v>
      </c>
      <c r="N52" s="183">
        <f>IF(Tabla231116212631[[#This Row],[Puntos scratch]]="","NO PUNTÚA",SUM(Tabla231116212631[[#This Row],[Puntos scratch]],Tabla231116212631[[#This Row],[Puntos clase]])*2)</f>
        <v>56</v>
      </c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50" fitToHeight="0" orientation="landscape" r:id="rId1"/>
  <headerFooter>
    <oddHeader>&amp;R&amp;"Canaro Light"&amp;10&amp;K000000 Internal Use&amp;1#_x000D_</oddHeader>
  </headerFooter>
  <rowBreaks count="1" manualBreakCount="1">
    <brk id="48" max="14" man="1"/>
  </rowBreaks>
  <colBreaks count="1" manualBreakCount="1">
    <brk id="8" max="51" man="1"/>
  </colBreaks>
  <tableParts count="5">
    <tablePart r:id="rId2"/>
    <tablePart r:id="rId3"/>
    <tablePart r:id="rId4"/>
    <tablePart r:id="rId5"/>
    <tablePart r:id="rId6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FD692-4EC7-4C7D-BB85-D23E33B69856}">
  <dimension ref="A1:AA52"/>
  <sheetViews>
    <sheetView zoomScaleNormal="100" zoomScaleSheetLayoutView="80" zoomScalePageLayoutView="78" workbookViewId="0">
      <selection activeCell="H17" sqref="H17"/>
    </sheetView>
  </sheetViews>
  <sheetFormatPr baseColWidth="10" defaultColWidth="10.69921875" defaultRowHeight="14.5" x14ac:dyDescent="0.35"/>
  <cols>
    <col min="1" max="1" width="9" style="190" customWidth="1"/>
    <col min="2" max="2" width="6.296875" style="172" customWidth="1"/>
    <col min="3" max="3" width="36.5" style="172" bestFit="1" customWidth="1"/>
    <col min="4" max="4" width="45.5" style="172" bestFit="1" customWidth="1"/>
    <col min="5" max="5" width="8.796875" style="172" customWidth="1"/>
    <col min="6" max="6" width="47.19921875" style="172" customWidth="1"/>
    <col min="7" max="7" width="10.19921875" style="172" customWidth="1"/>
    <col min="8" max="8" width="41.796875" style="172" customWidth="1"/>
    <col min="9" max="9" width="11.19921875" style="196" customWidth="1"/>
    <col min="10" max="10" width="10.5" style="196" customWidth="1"/>
    <col min="11" max="11" width="12.796875" style="197" bestFit="1" customWidth="1"/>
    <col min="12" max="12" width="17.19921875" style="172" bestFit="1" customWidth="1"/>
    <col min="13" max="13" width="22" style="172" bestFit="1" customWidth="1"/>
    <col min="14" max="14" width="21.5" style="172" bestFit="1" customWidth="1"/>
    <col min="15" max="15" width="26" style="172" bestFit="1" customWidth="1"/>
    <col min="16" max="16" width="25" style="172" bestFit="1" customWidth="1"/>
    <col min="17" max="17" width="20.69921875" style="172" bestFit="1" customWidth="1"/>
    <col min="18" max="18" width="22.296875" style="172" bestFit="1" customWidth="1"/>
    <col min="19" max="19" width="34.796875" style="172" bestFit="1" customWidth="1"/>
    <col min="20" max="20" width="28.5" style="172" customWidth="1"/>
    <col min="21" max="21" width="23" style="172" bestFit="1" customWidth="1"/>
    <col min="22" max="22" width="19.19921875" style="172" bestFit="1" customWidth="1"/>
    <col min="23" max="23" width="21" style="172" bestFit="1" customWidth="1"/>
    <col min="24" max="24" width="32.19921875" style="172" bestFit="1" customWidth="1"/>
    <col min="25" max="25" width="10.69921875" style="172"/>
    <col min="26" max="26" width="31" style="172" bestFit="1" customWidth="1"/>
    <col min="27" max="256" width="10.69921875" style="172"/>
    <col min="257" max="257" width="9" style="172" customWidth="1"/>
    <col min="258" max="258" width="6.296875" style="172" customWidth="1"/>
    <col min="259" max="259" width="33.5" style="172" bestFit="1" customWidth="1"/>
    <col min="260" max="260" width="45.5" style="172" bestFit="1" customWidth="1"/>
    <col min="261" max="261" width="8.796875" style="172" customWidth="1"/>
    <col min="262" max="262" width="47.19921875" style="172" customWidth="1"/>
    <col min="263" max="263" width="10.19921875" style="172" customWidth="1"/>
    <col min="264" max="264" width="41.796875" style="172" customWidth="1"/>
    <col min="265" max="265" width="11.19921875" style="172" customWidth="1"/>
    <col min="266" max="266" width="10.5" style="172" customWidth="1"/>
    <col min="267" max="267" width="16" style="172" bestFit="1" customWidth="1"/>
    <col min="268" max="268" width="13.19921875" style="172" customWidth="1"/>
    <col min="269" max="269" width="11.796875" style="172" customWidth="1"/>
    <col min="270" max="270" width="9.69921875" style="172" customWidth="1"/>
    <col min="271" max="512" width="10.69921875" style="172"/>
    <col min="513" max="513" width="9" style="172" customWidth="1"/>
    <col min="514" max="514" width="6.296875" style="172" customWidth="1"/>
    <col min="515" max="515" width="33.5" style="172" bestFit="1" customWidth="1"/>
    <col min="516" max="516" width="45.5" style="172" bestFit="1" customWidth="1"/>
    <col min="517" max="517" width="8.796875" style="172" customWidth="1"/>
    <col min="518" max="518" width="47.19921875" style="172" customWidth="1"/>
    <col min="519" max="519" width="10.19921875" style="172" customWidth="1"/>
    <col min="520" max="520" width="41.796875" style="172" customWidth="1"/>
    <col min="521" max="521" width="11.19921875" style="172" customWidth="1"/>
    <col min="522" max="522" width="10.5" style="172" customWidth="1"/>
    <col min="523" max="523" width="16" style="172" bestFit="1" customWidth="1"/>
    <col min="524" max="524" width="13.19921875" style="172" customWidth="1"/>
    <col min="525" max="525" width="11.796875" style="172" customWidth="1"/>
    <col min="526" max="526" width="9.69921875" style="172" customWidth="1"/>
    <col min="527" max="768" width="10.69921875" style="172"/>
    <col min="769" max="769" width="9" style="172" customWidth="1"/>
    <col min="770" max="770" width="6.296875" style="172" customWidth="1"/>
    <col min="771" max="771" width="33.5" style="172" bestFit="1" customWidth="1"/>
    <col min="772" max="772" width="45.5" style="172" bestFit="1" customWidth="1"/>
    <col min="773" max="773" width="8.796875" style="172" customWidth="1"/>
    <col min="774" max="774" width="47.19921875" style="172" customWidth="1"/>
    <col min="775" max="775" width="10.19921875" style="172" customWidth="1"/>
    <col min="776" max="776" width="41.796875" style="172" customWidth="1"/>
    <col min="777" max="777" width="11.19921875" style="172" customWidth="1"/>
    <col min="778" max="778" width="10.5" style="172" customWidth="1"/>
    <col min="779" max="779" width="16" style="172" bestFit="1" customWidth="1"/>
    <col min="780" max="780" width="13.19921875" style="172" customWidth="1"/>
    <col min="781" max="781" width="11.796875" style="172" customWidth="1"/>
    <col min="782" max="782" width="9.69921875" style="172" customWidth="1"/>
    <col min="783" max="1024" width="10.69921875" style="172"/>
    <col min="1025" max="1025" width="9" style="172" customWidth="1"/>
    <col min="1026" max="1026" width="6.296875" style="172" customWidth="1"/>
    <col min="1027" max="1027" width="33.5" style="172" bestFit="1" customWidth="1"/>
    <col min="1028" max="1028" width="45.5" style="172" bestFit="1" customWidth="1"/>
    <col min="1029" max="1029" width="8.796875" style="172" customWidth="1"/>
    <col min="1030" max="1030" width="47.19921875" style="172" customWidth="1"/>
    <col min="1031" max="1031" width="10.19921875" style="172" customWidth="1"/>
    <col min="1032" max="1032" width="41.796875" style="172" customWidth="1"/>
    <col min="1033" max="1033" width="11.19921875" style="172" customWidth="1"/>
    <col min="1034" max="1034" width="10.5" style="172" customWidth="1"/>
    <col min="1035" max="1035" width="16" style="172" bestFit="1" customWidth="1"/>
    <col min="1036" max="1036" width="13.19921875" style="172" customWidth="1"/>
    <col min="1037" max="1037" width="11.796875" style="172" customWidth="1"/>
    <col min="1038" max="1038" width="9.69921875" style="172" customWidth="1"/>
    <col min="1039" max="1280" width="10.69921875" style="172"/>
    <col min="1281" max="1281" width="9" style="172" customWidth="1"/>
    <col min="1282" max="1282" width="6.296875" style="172" customWidth="1"/>
    <col min="1283" max="1283" width="33.5" style="172" bestFit="1" customWidth="1"/>
    <col min="1284" max="1284" width="45.5" style="172" bestFit="1" customWidth="1"/>
    <col min="1285" max="1285" width="8.796875" style="172" customWidth="1"/>
    <col min="1286" max="1286" width="47.19921875" style="172" customWidth="1"/>
    <col min="1287" max="1287" width="10.19921875" style="172" customWidth="1"/>
    <col min="1288" max="1288" width="41.796875" style="172" customWidth="1"/>
    <col min="1289" max="1289" width="11.19921875" style="172" customWidth="1"/>
    <col min="1290" max="1290" width="10.5" style="172" customWidth="1"/>
    <col min="1291" max="1291" width="16" style="172" bestFit="1" customWidth="1"/>
    <col min="1292" max="1292" width="13.19921875" style="172" customWidth="1"/>
    <col min="1293" max="1293" width="11.796875" style="172" customWidth="1"/>
    <col min="1294" max="1294" width="9.69921875" style="172" customWidth="1"/>
    <col min="1295" max="1536" width="10.69921875" style="172"/>
    <col min="1537" max="1537" width="9" style="172" customWidth="1"/>
    <col min="1538" max="1538" width="6.296875" style="172" customWidth="1"/>
    <col min="1539" max="1539" width="33.5" style="172" bestFit="1" customWidth="1"/>
    <col min="1540" max="1540" width="45.5" style="172" bestFit="1" customWidth="1"/>
    <col min="1541" max="1541" width="8.796875" style="172" customWidth="1"/>
    <col min="1542" max="1542" width="47.19921875" style="172" customWidth="1"/>
    <col min="1543" max="1543" width="10.19921875" style="172" customWidth="1"/>
    <col min="1544" max="1544" width="41.796875" style="172" customWidth="1"/>
    <col min="1545" max="1545" width="11.19921875" style="172" customWidth="1"/>
    <col min="1546" max="1546" width="10.5" style="172" customWidth="1"/>
    <col min="1547" max="1547" width="16" style="172" bestFit="1" customWidth="1"/>
    <col min="1548" max="1548" width="13.19921875" style="172" customWidth="1"/>
    <col min="1549" max="1549" width="11.796875" style="172" customWidth="1"/>
    <col min="1550" max="1550" width="9.69921875" style="172" customWidth="1"/>
    <col min="1551" max="1792" width="10.69921875" style="172"/>
    <col min="1793" max="1793" width="9" style="172" customWidth="1"/>
    <col min="1794" max="1794" width="6.296875" style="172" customWidth="1"/>
    <col min="1795" max="1795" width="33.5" style="172" bestFit="1" customWidth="1"/>
    <col min="1796" max="1796" width="45.5" style="172" bestFit="1" customWidth="1"/>
    <col min="1797" max="1797" width="8.796875" style="172" customWidth="1"/>
    <col min="1798" max="1798" width="47.19921875" style="172" customWidth="1"/>
    <col min="1799" max="1799" width="10.19921875" style="172" customWidth="1"/>
    <col min="1800" max="1800" width="41.796875" style="172" customWidth="1"/>
    <col min="1801" max="1801" width="11.19921875" style="172" customWidth="1"/>
    <col min="1802" max="1802" width="10.5" style="172" customWidth="1"/>
    <col min="1803" max="1803" width="16" style="172" bestFit="1" customWidth="1"/>
    <col min="1804" max="1804" width="13.19921875" style="172" customWidth="1"/>
    <col min="1805" max="1805" width="11.796875" style="172" customWidth="1"/>
    <col min="1806" max="1806" width="9.69921875" style="172" customWidth="1"/>
    <col min="1807" max="2048" width="10.69921875" style="172"/>
    <col min="2049" max="2049" width="9" style="172" customWidth="1"/>
    <col min="2050" max="2050" width="6.296875" style="172" customWidth="1"/>
    <col min="2051" max="2051" width="33.5" style="172" bestFit="1" customWidth="1"/>
    <col min="2052" max="2052" width="45.5" style="172" bestFit="1" customWidth="1"/>
    <col min="2053" max="2053" width="8.796875" style="172" customWidth="1"/>
    <col min="2054" max="2054" width="47.19921875" style="172" customWidth="1"/>
    <col min="2055" max="2055" width="10.19921875" style="172" customWidth="1"/>
    <col min="2056" max="2056" width="41.796875" style="172" customWidth="1"/>
    <col min="2057" max="2057" width="11.19921875" style="172" customWidth="1"/>
    <col min="2058" max="2058" width="10.5" style="172" customWidth="1"/>
    <col min="2059" max="2059" width="16" style="172" bestFit="1" customWidth="1"/>
    <col min="2060" max="2060" width="13.19921875" style="172" customWidth="1"/>
    <col min="2061" max="2061" width="11.796875" style="172" customWidth="1"/>
    <col min="2062" max="2062" width="9.69921875" style="172" customWidth="1"/>
    <col min="2063" max="2304" width="10.69921875" style="172"/>
    <col min="2305" max="2305" width="9" style="172" customWidth="1"/>
    <col min="2306" max="2306" width="6.296875" style="172" customWidth="1"/>
    <col min="2307" max="2307" width="33.5" style="172" bestFit="1" customWidth="1"/>
    <col min="2308" max="2308" width="45.5" style="172" bestFit="1" customWidth="1"/>
    <col min="2309" max="2309" width="8.796875" style="172" customWidth="1"/>
    <col min="2310" max="2310" width="47.19921875" style="172" customWidth="1"/>
    <col min="2311" max="2311" width="10.19921875" style="172" customWidth="1"/>
    <col min="2312" max="2312" width="41.796875" style="172" customWidth="1"/>
    <col min="2313" max="2313" width="11.19921875" style="172" customWidth="1"/>
    <col min="2314" max="2314" width="10.5" style="172" customWidth="1"/>
    <col min="2315" max="2315" width="16" style="172" bestFit="1" customWidth="1"/>
    <col min="2316" max="2316" width="13.19921875" style="172" customWidth="1"/>
    <col min="2317" max="2317" width="11.796875" style="172" customWidth="1"/>
    <col min="2318" max="2318" width="9.69921875" style="172" customWidth="1"/>
    <col min="2319" max="2560" width="10.69921875" style="172"/>
    <col min="2561" max="2561" width="9" style="172" customWidth="1"/>
    <col min="2562" max="2562" width="6.296875" style="172" customWidth="1"/>
    <col min="2563" max="2563" width="33.5" style="172" bestFit="1" customWidth="1"/>
    <col min="2564" max="2564" width="45.5" style="172" bestFit="1" customWidth="1"/>
    <col min="2565" max="2565" width="8.796875" style="172" customWidth="1"/>
    <col min="2566" max="2566" width="47.19921875" style="172" customWidth="1"/>
    <col min="2567" max="2567" width="10.19921875" style="172" customWidth="1"/>
    <col min="2568" max="2568" width="41.796875" style="172" customWidth="1"/>
    <col min="2569" max="2569" width="11.19921875" style="172" customWidth="1"/>
    <col min="2570" max="2570" width="10.5" style="172" customWidth="1"/>
    <col min="2571" max="2571" width="16" style="172" bestFit="1" customWidth="1"/>
    <col min="2572" max="2572" width="13.19921875" style="172" customWidth="1"/>
    <col min="2573" max="2573" width="11.796875" style="172" customWidth="1"/>
    <col min="2574" max="2574" width="9.69921875" style="172" customWidth="1"/>
    <col min="2575" max="2816" width="10.69921875" style="172"/>
    <col min="2817" max="2817" width="9" style="172" customWidth="1"/>
    <col min="2818" max="2818" width="6.296875" style="172" customWidth="1"/>
    <col min="2819" max="2819" width="33.5" style="172" bestFit="1" customWidth="1"/>
    <col min="2820" max="2820" width="45.5" style="172" bestFit="1" customWidth="1"/>
    <col min="2821" max="2821" width="8.796875" style="172" customWidth="1"/>
    <col min="2822" max="2822" width="47.19921875" style="172" customWidth="1"/>
    <col min="2823" max="2823" width="10.19921875" style="172" customWidth="1"/>
    <col min="2824" max="2824" width="41.796875" style="172" customWidth="1"/>
    <col min="2825" max="2825" width="11.19921875" style="172" customWidth="1"/>
    <col min="2826" max="2826" width="10.5" style="172" customWidth="1"/>
    <col min="2827" max="2827" width="16" style="172" bestFit="1" customWidth="1"/>
    <col min="2828" max="2828" width="13.19921875" style="172" customWidth="1"/>
    <col min="2829" max="2829" width="11.796875" style="172" customWidth="1"/>
    <col min="2830" max="2830" width="9.69921875" style="172" customWidth="1"/>
    <col min="2831" max="3072" width="10.69921875" style="172"/>
    <col min="3073" max="3073" width="9" style="172" customWidth="1"/>
    <col min="3074" max="3074" width="6.296875" style="172" customWidth="1"/>
    <col min="3075" max="3075" width="33.5" style="172" bestFit="1" customWidth="1"/>
    <col min="3076" max="3076" width="45.5" style="172" bestFit="1" customWidth="1"/>
    <col min="3077" max="3077" width="8.796875" style="172" customWidth="1"/>
    <col min="3078" max="3078" width="47.19921875" style="172" customWidth="1"/>
    <col min="3079" max="3079" width="10.19921875" style="172" customWidth="1"/>
    <col min="3080" max="3080" width="41.796875" style="172" customWidth="1"/>
    <col min="3081" max="3081" width="11.19921875" style="172" customWidth="1"/>
    <col min="3082" max="3082" width="10.5" style="172" customWidth="1"/>
    <col min="3083" max="3083" width="16" style="172" bestFit="1" customWidth="1"/>
    <col min="3084" max="3084" width="13.19921875" style="172" customWidth="1"/>
    <col min="3085" max="3085" width="11.796875" style="172" customWidth="1"/>
    <col min="3086" max="3086" width="9.69921875" style="172" customWidth="1"/>
    <col min="3087" max="3328" width="10.69921875" style="172"/>
    <col min="3329" max="3329" width="9" style="172" customWidth="1"/>
    <col min="3330" max="3330" width="6.296875" style="172" customWidth="1"/>
    <col min="3331" max="3331" width="33.5" style="172" bestFit="1" customWidth="1"/>
    <col min="3332" max="3332" width="45.5" style="172" bestFit="1" customWidth="1"/>
    <col min="3333" max="3333" width="8.796875" style="172" customWidth="1"/>
    <col min="3334" max="3334" width="47.19921875" style="172" customWidth="1"/>
    <col min="3335" max="3335" width="10.19921875" style="172" customWidth="1"/>
    <col min="3336" max="3336" width="41.796875" style="172" customWidth="1"/>
    <col min="3337" max="3337" width="11.19921875" style="172" customWidth="1"/>
    <col min="3338" max="3338" width="10.5" style="172" customWidth="1"/>
    <col min="3339" max="3339" width="16" style="172" bestFit="1" customWidth="1"/>
    <col min="3340" max="3340" width="13.19921875" style="172" customWidth="1"/>
    <col min="3341" max="3341" width="11.796875" style="172" customWidth="1"/>
    <col min="3342" max="3342" width="9.69921875" style="172" customWidth="1"/>
    <col min="3343" max="3584" width="10.69921875" style="172"/>
    <col min="3585" max="3585" width="9" style="172" customWidth="1"/>
    <col min="3586" max="3586" width="6.296875" style="172" customWidth="1"/>
    <col min="3587" max="3587" width="33.5" style="172" bestFit="1" customWidth="1"/>
    <col min="3588" max="3588" width="45.5" style="172" bestFit="1" customWidth="1"/>
    <col min="3589" max="3589" width="8.796875" style="172" customWidth="1"/>
    <col min="3590" max="3590" width="47.19921875" style="172" customWidth="1"/>
    <col min="3591" max="3591" width="10.19921875" style="172" customWidth="1"/>
    <col min="3592" max="3592" width="41.796875" style="172" customWidth="1"/>
    <col min="3593" max="3593" width="11.19921875" style="172" customWidth="1"/>
    <col min="3594" max="3594" width="10.5" style="172" customWidth="1"/>
    <col min="3595" max="3595" width="16" style="172" bestFit="1" customWidth="1"/>
    <col min="3596" max="3596" width="13.19921875" style="172" customWidth="1"/>
    <col min="3597" max="3597" width="11.796875" style="172" customWidth="1"/>
    <col min="3598" max="3598" width="9.69921875" style="172" customWidth="1"/>
    <col min="3599" max="3840" width="10.69921875" style="172"/>
    <col min="3841" max="3841" width="9" style="172" customWidth="1"/>
    <col min="3842" max="3842" width="6.296875" style="172" customWidth="1"/>
    <col min="3843" max="3843" width="33.5" style="172" bestFit="1" customWidth="1"/>
    <col min="3844" max="3844" width="45.5" style="172" bestFit="1" customWidth="1"/>
    <col min="3845" max="3845" width="8.796875" style="172" customWidth="1"/>
    <col min="3846" max="3846" width="47.19921875" style="172" customWidth="1"/>
    <col min="3847" max="3847" width="10.19921875" style="172" customWidth="1"/>
    <col min="3848" max="3848" width="41.796875" style="172" customWidth="1"/>
    <col min="3849" max="3849" width="11.19921875" style="172" customWidth="1"/>
    <col min="3850" max="3850" width="10.5" style="172" customWidth="1"/>
    <col min="3851" max="3851" width="16" style="172" bestFit="1" customWidth="1"/>
    <col min="3852" max="3852" width="13.19921875" style="172" customWidth="1"/>
    <col min="3853" max="3853" width="11.796875" style="172" customWidth="1"/>
    <col min="3854" max="3854" width="9.69921875" style="172" customWidth="1"/>
    <col min="3855" max="4096" width="10.69921875" style="172"/>
    <col min="4097" max="4097" width="9" style="172" customWidth="1"/>
    <col min="4098" max="4098" width="6.296875" style="172" customWidth="1"/>
    <col min="4099" max="4099" width="33.5" style="172" bestFit="1" customWidth="1"/>
    <col min="4100" max="4100" width="45.5" style="172" bestFit="1" customWidth="1"/>
    <col min="4101" max="4101" width="8.796875" style="172" customWidth="1"/>
    <col min="4102" max="4102" width="47.19921875" style="172" customWidth="1"/>
    <col min="4103" max="4103" width="10.19921875" style="172" customWidth="1"/>
    <col min="4104" max="4104" width="41.796875" style="172" customWidth="1"/>
    <col min="4105" max="4105" width="11.19921875" style="172" customWidth="1"/>
    <col min="4106" max="4106" width="10.5" style="172" customWidth="1"/>
    <col min="4107" max="4107" width="16" style="172" bestFit="1" customWidth="1"/>
    <col min="4108" max="4108" width="13.19921875" style="172" customWidth="1"/>
    <col min="4109" max="4109" width="11.796875" style="172" customWidth="1"/>
    <col min="4110" max="4110" width="9.69921875" style="172" customWidth="1"/>
    <col min="4111" max="4352" width="10.69921875" style="172"/>
    <col min="4353" max="4353" width="9" style="172" customWidth="1"/>
    <col min="4354" max="4354" width="6.296875" style="172" customWidth="1"/>
    <col min="4355" max="4355" width="33.5" style="172" bestFit="1" customWidth="1"/>
    <col min="4356" max="4356" width="45.5" style="172" bestFit="1" customWidth="1"/>
    <col min="4357" max="4357" width="8.796875" style="172" customWidth="1"/>
    <col min="4358" max="4358" width="47.19921875" style="172" customWidth="1"/>
    <col min="4359" max="4359" width="10.19921875" style="172" customWidth="1"/>
    <col min="4360" max="4360" width="41.796875" style="172" customWidth="1"/>
    <col min="4361" max="4361" width="11.19921875" style="172" customWidth="1"/>
    <col min="4362" max="4362" width="10.5" style="172" customWidth="1"/>
    <col min="4363" max="4363" width="16" style="172" bestFit="1" customWidth="1"/>
    <col min="4364" max="4364" width="13.19921875" style="172" customWidth="1"/>
    <col min="4365" max="4365" width="11.796875" style="172" customWidth="1"/>
    <col min="4366" max="4366" width="9.69921875" style="172" customWidth="1"/>
    <col min="4367" max="4608" width="10.69921875" style="172"/>
    <col min="4609" max="4609" width="9" style="172" customWidth="1"/>
    <col min="4610" max="4610" width="6.296875" style="172" customWidth="1"/>
    <col min="4611" max="4611" width="33.5" style="172" bestFit="1" customWidth="1"/>
    <col min="4612" max="4612" width="45.5" style="172" bestFit="1" customWidth="1"/>
    <col min="4613" max="4613" width="8.796875" style="172" customWidth="1"/>
    <col min="4614" max="4614" width="47.19921875" style="172" customWidth="1"/>
    <col min="4615" max="4615" width="10.19921875" style="172" customWidth="1"/>
    <col min="4616" max="4616" width="41.796875" style="172" customWidth="1"/>
    <col min="4617" max="4617" width="11.19921875" style="172" customWidth="1"/>
    <col min="4618" max="4618" width="10.5" style="172" customWidth="1"/>
    <col min="4619" max="4619" width="16" style="172" bestFit="1" customWidth="1"/>
    <col min="4620" max="4620" width="13.19921875" style="172" customWidth="1"/>
    <col min="4621" max="4621" width="11.796875" style="172" customWidth="1"/>
    <col min="4622" max="4622" width="9.69921875" style="172" customWidth="1"/>
    <col min="4623" max="4864" width="10.69921875" style="172"/>
    <col min="4865" max="4865" width="9" style="172" customWidth="1"/>
    <col min="4866" max="4866" width="6.296875" style="172" customWidth="1"/>
    <col min="4867" max="4867" width="33.5" style="172" bestFit="1" customWidth="1"/>
    <col min="4868" max="4868" width="45.5" style="172" bestFit="1" customWidth="1"/>
    <col min="4869" max="4869" width="8.796875" style="172" customWidth="1"/>
    <col min="4870" max="4870" width="47.19921875" style="172" customWidth="1"/>
    <col min="4871" max="4871" width="10.19921875" style="172" customWidth="1"/>
    <col min="4872" max="4872" width="41.796875" style="172" customWidth="1"/>
    <col min="4873" max="4873" width="11.19921875" style="172" customWidth="1"/>
    <col min="4874" max="4874" width="10.5" style="172" customWidth="1"/>
    <col min="4875" max="4875" width="16" style="172" bestFit="1" customWidth="1"/>
    <col min="4876" max="4876" width="13.19921875" style="172" customWidth="1"/>
    <col min="4877" max="4877" width="11.796875" style="172" customWidth="1"/>
    <col min="4878" max="4878" width="9.69921875" style="172" customWidth="1"/>
    <col min="4879" max="5120" width="10.69921875" style="172"/>
    <col min="5121" max="5121" width="9" style="172" customWidth="1"/>
    <col min="5122" max="5122" width="6.296875" style="172" customWidth="1"/>
    <col min="5123" max="5123" width="33.5" style="172" bestFit="1" customWidth="1"/>
    <col min="5124" max="5124" width="45.5" style="172" bestFit="1" customWidth="1"/>
    <col min="5125" max="5125" width="8.796875" style="172" customWidth="1"/>
    <col min="5126" max="5126" width="47.19921875" style="172" customWidth="1"/>
    <col min="5127" max="5127" width="10.19921875" style="172" customWidth="1"/>
    <col min="5128" max="5128" width="41.796875" style="172" customWidth="1"/>
    <col min="5129" max="5129" width="11.19921875" style="172" customWidth="1"/>
    <col min="5130" max="5130" width="10.5" style="172" customWidth="1"/>
    <col min="5131" max="5131" width="16" style="172" bestFit="1" customWidth="1"/>
    <col min="5132" max="5132" width="13.19921875" style="172" customWidth="1"/>
    <col min="5133" max="5133" width="11.796875" style="172" customWidth="1"/>
    <col min="5134" max="5134" width="9.69921875" style="172" customWidth="1"/>
    <col min="5135" max="5376" width="10.69921875" style="172"/>
    <col min="5377" max="5377" width="9" style="172" customWidth="1"/>
    <col min="5378" max="5378" width="6.296875" style="172" customWidth="1"/>
    <col min="5379" max="5379" width="33.5" style="172" bestFit="1" customWidth="1"/>
    <col min="5380" max="5380" width="45.5" style="172" bestFit="1" customWidth="1"/>
    <col min="5381" max="5381" width="8.796875" style="172" customWidth="1"/>
    <col min="5382" max="5382" width="47.19921875" style="172" customWidth="1"/>
    <col min="5383" max="5383" width="10.19921875" style="172" customWidth="1"/>
    <col min="5384" max="5384" width="41.796875" style="172" customWidth="1"/>
    <col min="5385" max="5385" width="11.19921875" style="172" customWidth="1"/>
    <col min="5386" max="5386" width="10.5" style="172" customWidth="1"/>
    <col min="5387" max="5387" width="16" style="172" bestFit="1" customWidth="1"/>
    <col min="5388" max="5388" width="13.19921875" style="172" customWidth="1"/>
    <col min="5389" max="5389" width="11.796875" style="172" customWidth="1"/>
    <col min="5390" max="5390" width="9.69921875" style="172" customWidth="1"/>
    <col min="5391" max="5632" width="10.69921875" style="172"/>
    <col min="5633" max="5633" width="9" style="172" customWidth="1"/>
    <col min="5634" max="5634" width="6.296875" style="172" customWidth="1"/>
    <col min="5635" max="5635" width="33.5" style="172" bestFit="1" customWidth="1"/>
    <col min="5636" max="5636" width="45.5" style="172" bestFit="1" customWidth="1"/>
    <col min="5637" max="5637" width="8.796875" style="172" customWidth="1"/>
    <col min="5638" max="5638" width="47.19921875" style="172" customWidth="1"/>
    <col min="5639" max="5639" width="10.19921875" style="172" customWidth="1"/>
    <col min="5640" max="5640" width="41.796875" style="172" customWidth="1"/>
    <col min="5641" max="5641" width="11.19921875" style="172" customWidth="1"/>
    <col min="5642" max="5642" width="10.5" style="172" customWidth="1"/>
    <col min="5643" max="5643" width="16" style="172" bestFit="1" customWidth="1"/>
    <col min="5644" max="5644" width="13.19921875" style="172" customWidth="1"/>
    <col min="5645" max="5645" width="11.796875" style="172" customWidth="1"/>
    <col min="5646" max="5646" width="9.69921875" style="172" customWidth="1"/>
    <col min="5647" max="5888" width="10.69921875" style="172"/>
    <col min="5889" max="5889" width="9" style="172" customWidth="1"/>
    <col min="5890" max="5890" width="6.296875" style="172" customWidth="1"/>
    <col min="5891" max="5891" width="33.5" style="172" bestFit="1" customWidth="1"/>
    <col min="5892" max="5892" width="45.5" style="172" bestFit="1" customWidth="1"/>
    <col min="5893" max="5893" width="8.796875" style="172" customWidth="1"/>
    <col min="5894" max="5894" width="47.19921875" style="172" customWidth="1"/>
    <col min="5895" max="5895" width="10.19921875" style="172" customWidth="1"/>
    <col min="5896" max="5896" width="41.796875" style="172" customWidth="1"/>
    <col min="5897" max="5897" width="11.19921875" style="172" customWidth="1"/>
    <col min="5898" max="5898" width="10.5" style="172" customWidth="1"/>
    <col min="5899" max="5899" width="16" style="172" bestFit="1" customWidth="1"/>
    <col min="5900" max="5900" width="13.19921875" style="172" customWidth="1"/>
    <col min="5901" max="5901" width="11.796875" style="172" customWidth="1"/>
    <col min="5902" max="5902" width="9.69921875" style="172" customWidth="1"/>
    <col min="5903" max="6144" width="10.69921875" style="172"/>
    <col min="6145" max="6145" width="9" style="172" customWidth="1"/>
    <col min="6146" max="6146" width="6.296875" style="172" customWidth="1"/>
    <col min="6147" max="6147" width="33.5" style="172" bestFit="1" customWidth="1"/>
    <col min="6148" max="6148" width="45.5" style="172" bestFit="1" customWidth="1"/>
    <col min="6149" max="6149" width="8.796875" style="172" customWidth="1"/>
    <col min="6150" max="6150" width="47.19921875" style="172" customWidth="1"/>
    <col min="6151" max="6151" width="10.19921875" style="172" customWidth="1"/>
    <col min="6152" max="6152" width="41.796875" style="172" customWidth="1"/>
    <col min="6153" max="6153" width="11.19921875" style="172" customWidth="1"/>
    <col min="6154" max="6154" width="10.5" style="172" customWidth="1"/>
    <col min="6155" max="6155" width="16" style="172" bestFit="1" customWidth="1"/>
    <col min="6156" max="6156" width="13.19921875" style="172" customWidth="1"/>
    <col min="6157" max="6157" width="11.796875" style="172" customWidth="1"/>
    <col min="6158" max="6158" width="9.69921875" style="172" customWidth="1"/>
    <col min="6159" max="6400" width="10.69921875" style="172"/>
    <col min="6401" max="6401" width="9" style="172" customWidth="1"/>
    <col min="6402" max="6402" width="6.296875" style="172" customWidth="1"/>
    <col min="6403" max="6403" width="33.5" style="172" bestFit="1" customWidth="1"/>
    <col min="6404" max="6404" width="45.5" style="172" bestFit="1" customWidth="1"/>
    <col min="6405" max="6405" width="8.796875" style="172" customWidth="1"/>
    <col min="6406" max="6406" width="47.19921875" style="172" customWidth="1"/>
    <col min="6407" max="6407" width="10.19921875" style="172" customWidth="1"/>
    <col min="6408" max="6408" width="41.796875" style="172" customWidth="1"/>
    <col min="6409" max="6409" width="11.19921875" style="172" customWidth="1"/>
    <col min="6410" max="6410" width="10.5" style="172" customWidth="1"/>
    <col min="6411" max="6411" width="16" style="172" bestFit="1" customWidth="1"/>
    <col min="6412" max="6412" width="13.19921875" style="172" customWidth="1"/>
    <col min="6413" max="6413" width="11.796875" style="172" customWidth="1"/>
    <col min="6414" max="6414" width="9.69921875" style="172" customWidth="1"/>
    <col min="6415" max="6656" width="10.69921875" style="172"/>
    <col min="6657" max="6657" width="9" style="172" customWidth="1"/>
    <col min="6658" max="6658" width="6.296875" style="172" customWidth="1"/>
    <col min="6659" max="6659" width="33.5" style="172" bestFit="1" customWidth="1"/>
    <col min="6660" max="6660" width="45.5" style="172" bestFit="1" customWidth="1"/>
    <col min="6661" max="6661" width="8.796875" style="172" customWidth="1"/>
    <col min="6662" max="6662" width="47.19921875" style="172" customWidth="1"/>
    <col min="6663" max="6663" width="10.19921875" style="172" customWidth="1"/>
    <col min="6664" max="6664" width="41.796875" style="172" customWidth="1"/>
    <col min="6665" max="6665" width="11.19921875" style="172" customWidth="1"/>
    <col min="6666" max="6666" width="10.5" style="172" customWidth="1"/>
    <col min="6667" max="6667" width="16" style="172" bestFit="1" customWidth="1"/>
    <col min="6668" max="6668" width="13.19921875" style="172" customWidth="1"/>
    <col min="6669" max="6669" width="11.796875" style="172" customWidth="1"/>
    <col min="6670" max="6670" width="9.69921875" style="172" customWidth="1"/>
    <col min="6671" max="6912" width="10.69921875" style="172"/>
    <col min="6913" max="6913" width="9" style="172" customWidth="1"/>
    <col min="6914" max="6914" width="6.296875" style="172" customWidth="1"/>
    <col min="6915" max="6915" width="33.5" style="172" bestFit="1" customWidth="1"/>
    <col min="6916" max="6916" width="45.5" style="172" bestFit="1" customWidth="1"/>
    <col min="6917" max="6917" width="8.796875" style="172" customWidth="1"/>
    <col min="6918" max="6918" width="47.19921875" style="172" customWidth="1"/>
    <col min="6919" max="6919" width="10.19921875" style="172" customWidth="1"/>
    <col min="6920" max="6920" width="41.796875" style="172" customWidth="1"/>
    <col min="6921" max="6921" width="11.19921875" style="172" customWidth="1"/>
    <col min="6922" max="6922" width="10.5" style="172" customWidth="1"/>
    <col min="6923" max="6923" width="16" style="172" bestFit="1" customWidth="1"/>
    <col min="6924" max="6924" width="13.19921875" style="172" customWidth="1"/>
    <col min="6925" max="6925" width="11.796875" style="172" customWidth="1"/>
    <col min="6926" max="6926" width="9.69921875" style="172" customWidth="1"/>
    <col min="6927" max="7168" width="10.69921875" style="172"/>
    <col min="7169" max="7169" width="9" style="172" customWidth="1"/>
    <col min="7170" max="7170" width="6.296875" style="172" customWidth="1"/>
    <col min="7171" max="7171" width="33.5" style="172" bestFit="1" customWidth="1"/>
    <col min="7172" max="7172" width="45.5" style="172" bestFit="1" customWidth="1"/>
    <col min="7173" max="7173" width="8.796875" style="172" customWidth="1"/>
    <col min="7174" max="7174" width="47.19921875" style="172" customWidth="1"/>
    <col min="7175" max="7175" width="10.19921875" style="172" customWidth="1"/>
    <col min="7176" max="7176" width="41.796875" style="172" customWidth="1"/>
    <col min="7177" max="7177" width="11.19921875" style="172" customWidth="1"/>
    <col min="7178" max="7178" width="10.5" style="172" customWidth="1"/>
    <col min="7179" max="7179" width="16" style="172" bestFit="1" customWidth="1"/>
    <col min="7180" max="7180" width="13.19921875" style="172" customWidth="1"/>
    <col min="7181" max="7181" width="11.796875" style="172" customWidth="1"/>
    <col min="7182" max="7182" width="9.69921875" style="172" customWidth="1"/>
    <col min="7183" max="7424" width="10.69921875" style="172"/>
    <col min="7425" max="7425" width="9" style="172" customWidth="1"/>
    <col min="7426" max="7426" width="6.296875" style="172" customWidth="1"/>
    <col min="7427" max="7427" width="33.5" style="172" bestFit="1" customWidth="1"/>
    <col min="7428" max="7428" width="45.5" style="172" bestFit="1" customWidth="1"/>
    <col min="7429" max="7429" width="8.796875" style="172" customWidth="1"/>
    <col min="7430" max="7430" width="47.19921875" style="172" customWidth="1"/>
    <col min="7431" max="7431" width="10.19921875" style="172" customWidth="1"/>
    <col min="7432" max="7432" width="41.796875" style="172" customWidth="1"/>
    <col min="7433" max="7433" width="11.19921875" style="172" customWidth="1"/>
    <col min="7434" max="7434" width="10.5" style="172" customWidth="1"/>
    <col min="7435" max="7435" width="16" style="172" bestFit="1" customWidth="1"/>
    <col min="7436" max="7436" width="13.19921875" style="172" customWidth="1"/>
    <col min="7437" max="7437" width="11.796875" style="172" customWidth="1"/>
    <col min="7438" max="7438" width="9.69921875" style="172" customWidth="1"/>
    <col min="7439" max="7680" width="10.69921875" style="172"/>
    <col min="7681" max="7681" width="9" style="172" customWidth="1"/>
    <col min="7682" max="7682" width="6.296875" style="172" customWidth="1"/>
    <col min="7683" max="7683" width="33.5" style="172" bestFit="1" customWidth="1"/>
    <col min="7684" max="7684" width="45.5" style="172" bestFit="1" customWidth="1"/>
    <col min="7685" max="7685" width="8.796875" style="172" customWidth="1"/>
    <col min="7686" max="7686" width="47.19921875" style="172" customWidth="1"/>
    <col min="7687" max="7687" width="10.19921875" style="172" customWidth="1"/>
    <col min="7688" max="7688" width="41.796875" style="172" customWidth="1"/>
    <col min="7689" max="7689" width="11.19921875" style="172" customWidth="1"/>
    <col min="7690" max="7690" width="10.5" style="172" customWidth="1"/>
    <col min="7691" max="7691" width="16" style="172" bestFit="1" customWidth="1"/>
    <col min="7692" max="7692" width="13.19921875" style="172" customWidth="1"/>
    <col min="7693" max="7693" width="11.796875" style="172" customWidth="1"/>
    <col min="7694" max="7694" width="9.69921875" style="172" customWidth="1"/>
    <col min="7695" max="7936" width="10.69921875" style="172"/>
    <col min="7937" max="7937" width="9" style="172" customWidth="1"/>
    <col min="7938" max="7938" width="6.296875" style="172" customWidth="1"/>
    <col min="7939" max="7939" width="33.5" style="172" bestFit="1" customWidth="1"/>
    <col min="7940" max="7940" width="45.5" style="172" bestFit="1" customWidth="1"/>
    <col min="7941" max="7941" width="8.796875" style="172" customWidth="1"/>
    <col min="7942" max="7942" width="47.19921875" style="172" customWidth="1"/>
    <col min="7943" max="7943" width="10.19921875" style="172" customWidth="1"/>
    <col min="7944" max="7944" width="41.796875" style="172" customWidth="1"/>
    <col min="7945" max="7945" width="11.19921875" style="172" customWidth="1"/>
    <col min="7946" max="7946" width="10.5" style="172" customWidth="1"/>
    <col min="7947" max="7947" width="16" style="172" bestFit="1" customWidth="1"/>
    <col min="7948" max="7948" width="13.19921875" style="172" customWidth="1"/>
    <col min="7949" max="7949" width="11.796875" style="172" customWidth="1"/>
    <col min="7950" max="7950" width="9.69921875" style="172" customWidth="1"/>
    <col min="7951" max="8192" width="10.69921875" style="172"/>
    <col min="8193" max="8193" width="9" style="172" customWidth="1"/>
    <col min="8194" max="8194" width="6.296875" style="172" customWidth="1"/>
    <col min="8195" max="8195" width="33.5" style="172" bestFit="1" customWidth="1"/>
    <col min="8196" max="8196" width="45.5" style="172" bestFit="1" customWidth="1"/>
    <col min="8197" max="8197" width="8.796875" style="172" customWidth="1"/>
    <col min="8198" max="8198" width="47.19921875" style="172" customWidth="1"/>
    <col min="8199" max="8199" width="10.19921875" style="172" customWidth="1"/>
    <col min="8200" max="8200" width="41.796875" style="172" customWidth="1"/>
    <col min="8201" max="8201" width="11.19921875" style="172" customWidth="1"/>
    <col min="8202" max="8202" width="10.5" style="172" customWidth="1"/>
    <col min="8203" max="8203" width="16" style="172" bestFit="1" customWidth="1"/>
    <col min="8204" max="8204" width="13.19921875" style="172" customWidth="1"/>
    <col min="8205" max="8205" width="11.796875" style="172" customWidth="1"/>
    <col min="8206" max="8206" width="9.69921875" style="172" customWidth="1"/>
    <col min="8207" max="8448" width="10.69921875" style="172"/>
    <col min="8449" max="8449" width="9" style="172" customWidth="1"/>
    <col min="8450" max="8450" width="6.296875" style="172" customWidth="1"/>
    <col min="8451" max="8451" width="33.5" style="172" bestFit="1" customWidth="1"/>
    <col min="8452" max="8452" width="45.5" style="172" bestFit="1" customWidth="1"/>
    <col min="8453" max="8453" width="8.796875" style="172" customWidth="1"/>
    <col min="8454" max="8454" width="47.19921875" style="172" customWidth="1"/>
    <col min="8455" max="8455" width="10.19921875" style="172" customWidth="1"/>
    <col min="8456" max="8456" width="41.796875" style="172" customWidth="1"/>
    <col min="8457" max="8457" width="11.19921875" style="172" customWidth="1"/>
    <col min="8458" max="8458" width="10.5" style="172" customWidth="1"/>
    <col min="8459" max="8459" width="16" style="172" bestFit="1" customWidth="1"/>
    <col min="8460" max="8460" width="13.19921875" style="172" customWidth="1"/>
    <col min="8461" max="8461" width="11.796875" style="172" customWidth="1"/>
    <col min="8462" max="8462" width="9.69921875" style="172" customWidth="1"/>
    <col min="8463" max="8704" width="10.69921875" style="172"/>
    <col min="8705" max="8705" width="9" style="172" customWidth="1"/>
    <col min="8706" max="8706" width="6.296875" style="172" customWidth="1"/>
    <col min="8707" max="8707" width="33.5" style="172" bestFit="1" customWidth="1"/>
    <col min="8708" max="8708" width="45.5" style="172" bestFit="1" customWidth="1"/>
    <col min="8709" max="8709" width="8.796875" style="172" customWidth="1"/>
    <col min="8710" max="8710" width="47.19921875" style="172" customWidth="1"/>
    <col min="8711" max="8711" width="10.19921875" style="172" customWidth="1"/>
    <col min="8712" max="8712" width="41.796875" style="172" customWidth="1"/>
    <col min="8713" max="8713" width="11.19921875" style="172" customWidth="1"/>
    <col min="8714" max="8714" width="10.5" style="172" customWidth="1"/>
    <col min="8715" max="8715" width="16" style="172" bestFit="1" customWidth="1"/>
    <col min="8716" max="8716" width="13.19921875" style="172" customWidth="1"/>
    <col min="8717" max="8717" width="11.796875" style="172" customWidth="1"/>
    <col min="8718" max="8718" width="9.69921875" style="172" customWidth="1"/>
    <col min="8719" max="8960" width="10.69921875" style="172"/>
    <col min="8961" max="8961" width="9" style="172" customWidth="1"/>
    <col min="8962" max="8962" width="6.296875" style="172" customWidth="1"/>
    <col min="8963" max="8963" width="33.5" style="172" bestFit="1" customWidth="1"/>
    <col min="8964" max="8964" width="45.5" style="172" bestFit="1" customWidth="1"/>
    <col min="8965" max="8965" width="8.796875" style="172" customWidth="1"/>
    <col min="8966" max="8966" width="47.19921875" style="172" customWidth="1"/>
    <col min="8967" max="8967" width="10.19921875" style="172" customWidth="1"/>
    <col min="8968" max="8968" width="41.796875" style="172" customWidth="1"/>
    <col min="8969" max="8969" width="11.19921875" style="172" customWidth="1"/>
    <col min="8970" max="8970" width="10.5" style="172" customWidth="1"/>
    <col min="8971" max="8971" width="16" style="172" bestFit="1" customWidth="1"/>
    <col min="8972" max="8972" width="13.19921875" style="172" customWidth="1"/>
    <col min="8973" max="8973" width="11.796875" style="172" customWidth="1"/>
    <col min="8974" max="8974" width="9.69921875" style="172" customWidth="1"/>
    <col min="8975" max="9216" width="10.69921875" style="172"/>
    <col min="9217" max="9217" width="9" style="172" customWidth="1"/>
    <col min="9218" max="9218" width="6.296875" style="172" customWidth="1"/>
    <col min="9219" max="9219" width="33.5" style="172" bestFit="1" customWidth="1"/>
    <col min="9220" max="9220" width="45.5" style="172" bestFit="1" customWidth="1"/>
    <col min="9221" max="9221" width="8.796875" style="172" customWidth="1"/>
    <col min="9222" max="9222" width="47.19921875" style="172" customWidth="1"/>
    <col min="9223" max="9223" width="10.19921875" style="172" customWidth="1"/>
    <col min="9224" max="9224" width="41.796875" style="172" customWidth="1"/>
    <col min="9225" max="9225" width="11.19921875" style="172" customWidth="1"/>
    <col min="9226" max="9226" width="10.5" style="172" customWidth="1"/>
    <col min="9227" max="9227" width="16" style="172" bestFit="1" customWidth="1"/>
    <col min="9228" max="9228" width="13.19921875" style="172" customWidth="1"/>
    <col min="9229" max="9229" width="11.796875" style="172" customWidth="1"/>
    <col min="9230" max="9230" width="9.69921875" style="172" customWidth="1"/>
    <col min="9231" max="9472" width="10.69921875" style="172"/>
    <col min="9473" max="9473" width="9" style="172" customWidth="1"/>
    <col min="9474" max="9474" width="6.296875" style="172" customWidth="1"/>
    <col min="9475" max="9475" width="33.5" style="172" bestFit="1" customWidth="1"/>
    <col min="9476" max="9476" width="45.5" style="172" bestFit="1" customWidth="1"/>
    <col min="9477" max="9477" width="8.796875" style="172" customWidth="1"/>
    <col min="9478" max="9478" width="47.19921875" style="172" customWidth="1"/>
    <col min="9479" max="9479" width="10.19921875" style="172" customWidth="1"/>
    <col min="9480" max="9480" width="41.796875" style="172" customWidth="1"/>
    <col min="9481" max="9481" width="11.19921875" style="172" customWidth="1"/>
    <col min="9482" max="9482" width="10.5" style="172" customWidth="1"/>
    <col min="9483" max="9483" width="16" style="172" bestFit="1" customWidth="1"/>
    <col min="9484" max="9484" width="13.19921875" style="172" customWidth="1"/>
    <col min="9485" max="9485" width="11.796875" style="172" customWidth="1"/>
    <col min="9486" max="9486" width="9.69921875" style="172" customWidth="1"/>
    <col min="9487" max="9728" width="10.69921875" style="172"/>
    <col min="9729" max="9729" width="9" style="172" customWidth="1"/>
    <col min="9730" max="9730" width="6.296875" style="172" customWidth="1"/>
    <col min="9731" max="9731" width="33.5" style="172" bestFit="1" customWidth="1"/>
    <col min="9732" max="9732" width="45.5" style="172" bestFit="1" customWidth="1"/>
    <col min="9733" max="9733" width="8.796875" style="172" customWidth="1"/>
    <col min="9734" max="9734" width="47.19921875" style="172" customWidth="1"/>
    <col min="9735" max="9735" width="10.19921875" style="172" customWidth="1"/>
    <col min="9736" max="9736" width="41.796875" style="172" customWidth="1"/>
    <col min="9737" max="9737" width="11.19921875" style="172" customWidth="1"/>
    <col min="9738" max="9738" width="10.5" style="172" customWidth="1"/>
    <col min="9739" max="9739" width="16" style="172" bestFit="1" customWidth="1"/>
    <col min="9740" max="9740" width="13.19921875" style="172" customWidth="1"/>
    <col min="9741" max="9741" width="11.796875" style="172" customWidth="1"/>
    <col min="9742" max="9742" width="9.69921875" style="172" customWidth="1"/>
    <col min="9743" max="9984" width="10.69921875" style="172"/>
    <col min="9985" max="9985" width="9" style="172" customWidth="1"/>
    <col min="9986" max="9986" width="6.296875" style="172" customWidth="1"/>
    <col min="9987" max="9987" width="33.5" style="172" bestFit="1" customWidth="1"/>
    <col min="9988" max="9988" width="45.5" style="172" bestFit="1" customWidth="1"/>
    <col min="9989" max="9989" width="8.796875" style="172" customWidth="1"/>
    <col min="9990" max="9990" width="47.19921875" style="172" customWidth="1"/>
    <col min="9991" max="9991" width="10.19921875" style="172" customWidth="1"/>
    <col min="9992" max="9992" width="41.796875" style="172" customWidth="1"/>
    <col min="9993" max="9993" width="11.19921875" style="172" customWidth="1"/>
    <col min="9994" max="9994" width="10.5" style="172" customWidth="1"/>
    <col min="9995" max="9995" width="16" style="172" bestFit="1" customWidth="1"/>
    <col min="9996" max="9996" width="13.19921875" style="172" customWidth="1"/>
    <col min="9997" max="9997" width="11.796875" style="172" customWidth="1"/>
    <col min="9998" max="9998" width="9.69921875" style="172" customWidth="1"/>
    <col min="9999" max="10240" width="10.69921875" style="172"/>
    <col min="10241" max="10241" width="9" style="172" customWidth="1"/>
    <col min="10242" max="10242" width="6.296875" style="172" customWidth="1"/>
    <col min="10243" max="10243" width="33.5" style="172" bestFit="1" customWidth="1"/>
    <col min="10244" max="10244" width="45.5" style="172" bestFit="1" customWidth="1"/>
    <col min="10245" max="10245" width="8.796875" style="172" customWidth="1"/>
    <col min="10246" max="10246" width="47.19921875" style="172" customWidth="1"/>
    <col min="10247" max="10247" width="10.19921875" style="172" customWidth="1"/>
    <col min="10248" max="10248" width="41.796875" style="172" customWidth="1"/>
    <col min="10249" max="10249" width="11.19921875" style="172" customWidth="1"/>
    <col min="10250" max="10250" width="10.5" style="172" customWidth="1"/>
    <col min="10251" max="10251" width="16" style="172" bestFit="1" customWidth="1"/>
    <col min="10252" max="10252" width="13.19921875" style="172" customWidth="1"/>
    <col min="10253" max="10253" width="11.796875" style="172" customWidth="1"/>
    <col min="10254" max="10254" width="9.69921875" style="172" customWidth="1"/>
    <col min="10255" max="10496" width="10.69921875" style="172"/>
    <col min="10497" max="10497" width="9" style="172" customWidth="1"/>
    <col min="10498" max="10498" width="6.296875" style="172" customWidth="1"/>
    <col min="10499" max="10499" width="33.5" style="172" bestFit="1" customWidth="1"/>
    <col min="10500" max="10500" width="45.5" style="172" bestFit="1" customWidth="1"/>
    <col min="10501" max="10501" width="8.796875" style="172" customWidth="1"/>
    <col min="10502" max="10502" width="47.19921875" style="172" customWidth="1"/>
    <col min="10503" max="10503" width="10.19921875" style="172" customWidth="1"/>
    <col min="10504" max="10504" width="41.796875" style="172" customWidth="1"/>
    <col min="10505" max="10505" width="11.19921875" style="172" customWidth="1"/>
    <col min="10506" max="10506" width="10.5" style="172" customWidth="1"/>
    <col min="10507" max="10507" width="16" style="172" bestFit="1" customWidth="1"/>
    <col min="10508" max="10508" width="13.19921875" style="172" customWidth="1"/>
    <col min="10509" max="10509" width="11.796875" style="172" customWidth="1"/>
    <col min="10510" max="10510" width="9.69921875" style="172" customWidth="1"/>
    <col min="10511" max="10752" width="10.69921875" style="172"/>
    <col min="10753" max="10753" width="9" style="172" customWidth="1"/>
    <col min="10754" max="10754" width="6.296875" style="172" customWidth="1"/>
    <col min="10755" max="10755" width="33.5" style="172" bestFit="1" customWidth="1"/>
    <col min="10756" max="10756" width="45.5" style="172" bestFit="1" customWidth="1"/>
    <col min="10757" max="10757" width="8.796875" style="172" customWidth="1"/>
    <col min="10758" max="10758" width="47.19921875" style="172" customWidth="1"/>
    <col min="10759" max="10759" width="10.19921875" style="172" customWidth="1"/>
    <col min="10760" max="10760" width="41.796875" style="172" customWidth="1"/>
    <col min="10761" max="10761" width="11.19921875" style="172" customWidth="1"/>
    <col min="10762" max="10762" width="10.5" style="172" customWidth="1"/>
    <col min="10763" max="10763" width="16" style="172" bestFit="1" customWidth="1"/>
    <col min="10764" max="10764" width="13.19921875" style="172" customWidth="1"/>
    <col min="10765" max="10765" width="11.796875" style="172" customWidth="1"/>
    <col min="10766" max="10766" width="9.69921875" style="172" customWidth="1"/>
    <col min="10767" max="11008" width="10.69921875" style="172"/>
    <col min="11009" max="11009" width="9" style="172" customWidth="1"/>
    <col min="11010" max="11010" width="6.296875" style="172" customWidth="1"/>
    <col min="11011" max="11011" width="33.5" style="172" bestFit="1" customWidth="1"/>
    <col min="11012" max="11012" width="45.5" style="172" bestFit="1" customWidth="1"/>
    <col min="11013" max="11013" width="8.796875" style="172" customWidth="1"/>
    <col min="11014" max="11014" width="47.19921875" style="172" customWidth="1"/>
    <col min="11015" max="11015" width="10.19921875" style="172" customWidth="1"/>
    <col min="11016" max="11016" width="41.796875" style="172" customWidth="1"/>
    <col min="11017" max="11017" width="11.19921875" style="172" customWidth="1"/>
    <col min="11018" max="11018" width="10.5" style="172" customWidth="1"/>
    <col min="11019" max="11019" width="16" style="172" bestFit="1" customWidth="1"/>
    <col min="11020" max="11020" width="13.19921875" style="172" customWidth="1"/>
    <col min="11021" max="11021" width="11.796875" style="172" customWidth="1"/>
    <col min="11022" max="11022" width="9.69921875" style="172" customWidth="1"/>
    <col min="11023" max="11264" width="10.69921875" style="172"/>
    <col min="11265" max="11265" width="9" style="172" customWidth="1"/>
    <col min="11266" max="11266" width="6.296875" style="172" customWidth="1"/>
    <col min="11267" max="11267" width="33.5" style="172" bestFit="1" customWidth="1"/>
    <col min="11268" max="11268" width="45.5" style="172" bestFit="1" customWidth="1"/>
    <col min="11269" max="11269" width="8.796875" style="172" customWidth="1"/>
    <col min="11270" max="11270" width="47.19921875" style="172" customWidth="1"/>
    <col min="11271" max="11271" width="10.19921875" style="172" customWidth="1"/>
    <col min="11272" max="11272" width="41.796875" style="172" customWidth="1"/>
    <col min="11273" max="11273" width="11.19921875" style="172" customWidth="1"/>
    <col min="11274" max="11274" width="10.5" style="172" customWidth="1"/>
    <col min="11275" max="11275" width="16" style="172" bestFit="1" customWidth="1"/>
    <col min="11276" max="11276" width="13.19921875" style="172" customWidth="1"/>
    <col min="11277" max="11277" width="11.796875" style="172" customWidth="1"/>
    <col min="11278" max="11278" width="9.69921875" style="172" customWidth="1"/>
    <col min="11279" max="11520" width="10.69921875" style="172"/>
    <col min="11521" max="11521" width="9" style="172" customWidth="1"/>
    <col min="11522" max="11522" width="6.296875" style="172" customWidth="1"/>
    <col min="11523" max="11523" width="33.5" style="172" bestFit="1" customWidth="1"/>
    <col min="11524" max="11524" width="45.5" style="172" bestFit="1" customWidth="1"/>
    <col min="11525" max="11525" width="8.796875" style="172" customWidth="1"/>
    <col min="11526" max="11526" width="47.19921875" style="172" customWidth="1"/>
    <col min="11527" max="11527" width="10.19921875" style="172" customWidth="1"/>
    <col min="11528" max="11528" width="41.796875" style="172" customWidth="1"/>
    <col min="11529" max="11529" width="11.19921875" style="172" customWidth="1"/>
    <col min="11530" max="11530" width="10.5" style="172" customWidth="1"/>
    <col min="11531" max="11531" width="16" style="172" bestFit="1" customWidth="1"/>
    <col min="11532" max="11532" width="13.19921875" style="172" customWidth="1"/>
    <col min="11533" max="11533" width="11.796875" style="172" customWidth="1"/>
    <col min="11534" max="11534" width="9.69921875" style="172" customWidth="1"/>
    <col min="11535" max="11776" width="10.69921875" style="172"/>
    <col min="11777" max="11777" width="9" style="172" customWidth="1"/>
    <col min="11778" max="11778" width="6.296875" style="172" customWidth="1"/>
    <col min="11779" max="11779" width="33.5" style="172" bestFit="1" customWidth="1"/>
    <col min="11780" max="11780" width="45.5" style="172" bestFit="1" customWidth="1"/>
    <col min="11781" max="11781" width="8.796875" style="172" customWidth="1"/>
    <col min="11782" max="11782" width="47.19921875" style="172" customWidth="1"/>
    <col min="11783" max="11783" width="10.19921875" style="172" customWidth="1"/>
    <col min="11784" max="11784" width="41.796875" style="172" customWidth="1"/>
    <col min="11785" max="11785" width="11.19921875" style="172" customWidth="1"/>
    <col min="11786" max="11786" width="10.5" style="172" customWidth="1"/>
    <col min="11787" max="11787" width="16" style="172" bestFit="1" customWidth="1"/>
    <col min="11788" max="11788" width="13.19921875" style="172" customWidth="1"/>
    <col min="11789" max="11789" width="11.796875" style="172" customWidth="1"/>
    <col min="11790" max="11790" width="9.69921875" style="172" customWidth="1"/>
    <col min="11791" max="12032" width="10.69921875" style="172"/>
    <col min="12033" max="12033" width="9" style="172" customWidth="1"/>
    <col min="12034" max="12034" width="6.296875" style="172" customWidth="1"/>
    <col min="12035" max="12035" width="33.5" style="172" bestFit="1" customWidth="1"/>
    <col min="12036" max="12036" width="45.5" style="172" bestFit="1" customWidth="1"/>
    <col min="12037" max="12037" width="8.796875" style="172" customWidth="1"/>
    <col min="12038" max="12038" width="47.19921875" style="172" customWidth="1"/>
    <col min="12039" max="12039" width="10.19921875" style="172" customWidth="1"/>
    <col min="12040" max="12040" width="41.796875" style="172" customWidth="1"/>
    <col min="12041" max="12041" width="11.19921875" style="172" customWidth="1"/>
    <col min="12042" max="12042" width="10.5" style="172" customWidth="1"/>
    <col min="12043" max="12043" width="16" style="172" bestFit="1" customWidth="1"/>
    <col min="12044" max="12044" width="13.19921875" style="172" customWidth="1"/>
    <col min="12045" max="12045" width="11.796875" style="172" customWidth="1"/>
    <col min="12046" max="12046" width="9.69921875" style="172" customWidth="1"/>
    <col min="12047" max="12288" width="10.69921875" style="172"/>
    <col min="12289" max="12289" width="9" style="172" customWidth="1"/>
    <col min="12290" max="12290" width="6.296875" style="172" customWidth="1"/>
    <col min="12291" max="12291" width="33.5" style="172" bestFit="1" customWidth="1"/>
    <col min="12292" max="12292" width="45.5" style="172" bestFit="1" customWidth="1"/>
    <col min="12293" max="12293" width="8.796875" style="172" customWidth="1"/>
    <col min="12294" max="12294" width="47.19921875" style="172" customWidth="1"/>
    <col min="12295" max="12295" width="10.19921875" style="172" customWidth="1"/>
    <col min="12296" max="12296" width="41.796875" style="172" customWidth="1"/>
    <col min="12297" max="12297" width="11.19921875" style="172" customWidth="1"/>
    <col min="12298" max="12298" width="10.5" style="172" customWidth="1"/>
    <col min="12299" max="12299" width="16" style="172" bestFit="1" customWidth="1"/>
    <col min="12300" max="12300" width="13.19921875" style="172" customWidth="1"/>
    <col min="12301" max="12301" width="11.796875" style="172" customWidth="1"/>
    <col min="12302" max="12302" width="9.69921875" style="172" customWidth="1"/>
    <col min="12303" max="12544" width="10.69921875" style="172"/>
    <col min="12545" max="12545" width="9" style="172" customWidth="1"/>
    <col min="12546" max="12546" width="6.296875" style="172" customWidth="1"/>
    <col min="12547" max="12547" width="33.5" style="172" bestFit="1" customWidth="1"/>
    <col min="12548" max="12548" width="45.5" style="172" bestFit="1" customWidth="1"/>
    <col min="12549" max="12549" width="8.796875" style="172" customWidth="1"/>
    <col min="12550" max="12550" width="47.19921875" style="172" customWidth="1"/>
    <col min="12551" max="12551" width="10.19921875" style="172" customWidth="1"/>
    <col min="12552" max="12552" width="41.796875" style="172" customWidth="1"/>
    <col min="12553" max="12553" width="11.19921875" style="172" customWidth="1"/>
    <col min="12554" max="12554" width="10.5" style="172" customWidth="1"/>
    <col min="12555" max="12555" width="16" style="172" bestFit="1" customWidth="1"/>
    <col min="12556" max="12556" width="13.19921875" style="172" customWidth="1"/>
    <col min="12557" max="12557" width="11.796875" style="172" customWidth="1"/>
    <col min="12558" max="12558" width="9.69921875" style="172" customWidth="1"/>
    <col min="12559" max="12800" width="10.69921875" style="172"/>
    <col min="12801" max="12801" width="9" style="172" customWidth="1"/>
    <col min="12802" max="12802" width="6.296875" style="172" customWidth="1"/>
    <col min="12803" max="12803" width="33.5" style="172" bestFit="1" customWidth="1"/>
    <col min="12804" max="12804" width="45.5" style="172" bestFit="1" customWidth="1"/>
    <col min="12805" max="12805" width="8.796875" style="172" customWidth="1"/>
    <col min="12806" max="12806" width="47.19921875" style="172" customWidth="1"/>
    <col min="12807" max="12807" width="10.19921875" style="172" customWidth="1"/>
    <col min="12808" max="12808" width="41.796875" style="172" customWidth="1"/>
    <col min="12809" max="12809" width="11.19921875" style="172" customWidth="1"/>
    <col min="12810" max="12810" width="10.5" style="172" customWidth="1"/>
    <col min="12811" max="12811" width="16" style="172" bestFit="1" customWidth="1"/>
    <col min="12812" max="12812" width="13.19921875" style="172" customWidth="1"/>
    <col min="12813" max="12813" width="11.796875" style="172" customWidth="1"/>
    <col min="12814" max="12814" width="9.69921875" style="172" customWidth="1"/>
    <col min="12815" max="13056" width="10.69921875" style="172"/>
    <col min="13057" max="13057" width="9" style="172" customWidth="1"/>
    <col min="13058" max="13058" width="6.296875" style="172" customWidth="1"/>
    <col min="13059" max="13059" width="33.5" style="172" bestFit="1" customWidth="1"/>
    <col min="13060" max="13060" width="45.5" style="172" bestFit="1" customWidth="1"/>
    <col min="13061" max="13061" width="8.796875" style="172" customWidth="1"/>
    <col min="13062" max="13062" width="47.19921875" style="172" customWidth="1"/>
    <col min="13063" max="13063" width="10.19921875" style="172" customWidth="1"/>
    <col min="13064" max="13064" width="41.796875" style="172" customWidth="1"/>
    <col min="13065" max="13065" width="11.19921875" style="172" customWidth="1"/>
    <col min="13066" max="13066" width="10.5" style="172" customWidth="1"/>
    <col min="13067" max="13067" width="16" style="172" bestFit="1" customWidth="1"/>
    <col min="13068" max="13068" width="13.19921875" style="172" customWidth="1"/>
    <col min="13069" max="13069" width="11.796875" style="172" customWidth="1"/>
    <col min="13070" max="13070" width="9.69921875" style="172" customWidth="1"/>
    <col min="13071" max="13312" width="10.69921875" style="172"/>
    <col min="13313" max="13313" width="9" style="172" customWidth="1"/>
    <col min="13314" max="13314" width="6.296875" style="172" customWidth="1"/>
    <col min="13315" max="13315" width="33.5" style="172" bestFit="1" customWidth="1"/>
    <col min="13316" max="13316" width="45.5" style="172" bestFit="1" customWidth="1"/>
    <col min="13317" max="13317" width="8.796875" style="172" customWidth="1"/>
    <col min="13318" max="13318" width="47.19921875" style="172" customWidth="1"/>
    <col min="13319" max="13319" width="10.19921875" style="172" customWidth="1"/>
    <col min="13320" max="13320" width="41.796875" style="172" customWidth="1"/>
    <col min="13321" max="13321" width="11.19921875" style="172" customWidth="1"/>
    <col min="13322" max="13322" width="10.5" style="172" customWidth="1"/>
    <col min="13323" max="13323" width="16" style="172" bestFit="1" customWidth="1"/>
    <col min="13324" max="13324" width="13.19921875" style="172" customWidth="1"/>
    <col min="13325" max="13325" width="11.796875" style="172" customWidth="1"/>
    <col min="13326" max="13326" width="9.69921875" style="172" customWidth="1"/>
    <col min="13327" max="13568" width="10.69921875" style="172"/>
    <col min="13569" max="13569" width="9" style="172" customWidth="1"/>
    <col min="13570" max="13570" width="6.296875" style="172" customWidth="1"/>
    <col min="13571" max="13571" width="33.5" style="172" bestFit="1" customWidth="1"/>
    <col min="13572" max="13572" width="45.5" style="172" bestFit="1" customWidth="1"/>
    <col min="13573" max="13573" width="8.796875" style="172" customWidth="1"/>
    <col min="13574" max="13574" width="47.19921875" style="172" customWidth="1"/>
    <col min="13575" max="13575" width="10.19921875" style="172" customWidth="1"/>
    <col min="13576" max="13576" width="41.796875" style="172" customWidth="1"/>
    <col min="13577" max="13577" width="11.19921875" style="172" customWidth="1"/>
    <col min="13578" max="13578" width="10.5" style="172" customWidth="1"/>
    <col min="13579" max="13579" width="16" style="172" bestFit="1" customWidth="1"/>
    <col min="13580" max="13580" width="13.19921875" style="172" customWidth="1"/>
    <col min="13581" max="13581" width="11.796875" style="172" customWidth="1"/>
    <col min="13582" max="13582" width="9.69921875" style="172" customWidth="1"/>
    <col min="13583" max="13824" width="10.69921875" style="172"/>
    <col min="13825" max="13825" width="9" style="172" customWidth="1"/>
    <col min="13826" max="13826" width="6.296875" style="172" customWidth="1"/>
    <col min="13827" max="13827" width="33.5" style="172" bestFit="1" customWidth="1"/>
    <col min="13828" max="13828" width="45.5" style="172" bestFit="1" customWidth="1"/>
    <col min="13829" max="13829" width="8.796875" style="172" customWidth="1"/>
    <col min="13830" max="13830" width="47.19921875" style="172" customWidth="1"/>
    <col min="13831" max="13831" width="10.19921875" style="172" customWidth="1"/>
    <col min="13832" max="13832" width="41.796875" style="172" customWidth="1"/>
    <col min="13833" max="13833" width="11.19921875" style="172" customWidth="1"/>
    <col min="13834" max="13834" width="10.5" style="172" customWidth="1"/>
    <col min="13835" max="13835" width="16" style="172" bestFit="1" customWidth="1"/>
    <col min="13836" max="13836" width="13.19921875" style="172" customWidth="1"/>
    <col min="13837" max="13837" width="11.796875" style="172" customWidth="1"/>
    <col min="13838" max="13838" width="9.69921875" style="172" customWidth="1"/>
    <col min="13839" max="14080" width="10.69921875" style="172"/>
    <col min="14081" max="14081" width="9" style="172" customWidth="1"/>
    <col min="14082" max="14082" width="6.296875" style="172" customWidth="1"/>
    <col min="14083" max="14083" width="33.5" style="172" bestFit="1" customWidth="1"/>
    <col min="14084" max="14084" width="45.5" style="172" bestFit="1" customWidth="1"/>
    <col min="14085" max="14085" width="8.796875" style="172" customWidth="1"/>
    <col min="14086" max="14086" width="47.19921875" style="172" customWidth="1"/>
    <col min="14087" max="14087" width="10.19921875" style="172" customWidth="1"/>
    <col min="14088" max="14088" width="41.796875" style="172" customWidth="1"/>
    <col min="14089" max="14089" width="11.19921875" style="172" customWidth="1"/>
    <col min="14090" max="14090" width="10.5" style="172" customWidth="1"/>
    <col min="14091" max="14091" width="16" style="172" bestFit="1" customWidth="1"/>
    <col min="14092" max="14092" width="13.19921875" style="172" customWidth="1"/>
    <col min="14093" max="14093" width="11.796875" style="172" customWidth="1"/>
    <col min="14094" max="14094" width="9.69921875" style="172" customWidth="1"/>
    <col min="14095" max="14336" width="10.69921875" style="172"/>
    <col min="14337" max="14337" width="9" style="172" customWidth="1"/>
    <col min="14338" max="14338" width="6.296875" style="172" customWidth="1"/>
    <col min="14339" max="14339" width="33.5" style="172" bestFit="1" customWidth="1"/>
    <col min="14340" max="14340" width="45.5" style="172" bestFit="1" customWidth="1"/>
    <col min="14341" max="14341" width="8.796875" style="172" customWidth="1"/>
    <col min="14342" max="14342" width="47.19921875" style="172" customWidth="1"/>
    <col min="14343" max="14343" width="10.19921875" style="172" customWidth="1"/>
    <col min="14344" max="14344" width="41.796875" style="172" customWidth="1"/>
    <col min="14345" max="14345" width="11.19921875" style="172" customWidth="1"/>
    <col min="14346" max="14346" width="10.5" style="172" customWidth="1"/>
    <col min="14347" max="14347" width="16" style="172" bestFit="1" customWidth="1"/>
    <col min="14348" max="14348" width="13.19921875" style="172" customWidth="1"/>
    <col min="14349" max="14349" width="11.796875" style="172" customWidth="1"/>
    <col min="14350" max="14350" width="9.69921875" style="172" customWidth="1"/>
    <col min="14351" max="14592" width="10.69921875" style="172"/>
    <col min="14593" max="14593" width="9" style="172" customWidth="1"/>
    <col min="14594" max="14594" width="6.296875" style="172" customWidth="1"/>
    <col min="14595" max="14595" width="33.5" style="172" bestFit="1" customWidth="1"/>
    <col min="14596" max="14596" width="45.5" style="172" bestFit="1" customWidth="1"/>
    <col min="14597" max="14597" width="8.796875" style="172" customWidth="1"/>
    <col min="14598" max="14598" width="47.19921875" style="172" customWidth="1"/>
    <col min="14599" max="14599" width="10.19921875" style="172" customWidth="1"/>
    <col min="14600" max="14600" width="41.796875" style="172" customWidth="1"/>
    <col min="14601" max="14601" width="11.19921875" style="172" customWidth="1"/>
    <col min="14602" max="14602" width="10.5" style="172" customWidth="1"/>
    <col min="14603" max="14603" width="16" style="172" bestFit="1" customWidth="1"/>
    <col min="14604" max="14604" width="13.19921875" style="172" customWidth="1"/>
    <col min="14605" max="14605" width="11.796875" style="172" customWidth="1"/>
    <col min="14606" max="14606" width="9.69921875" style="172" customWidth="1"/>
    <col min="14607" max="14848" width="10.69921875" style="172"/>
    <col min="14849" max="14849" width="9" style="172" customWidth="1"/>
    <col min="14850" max="14850" width="6.296875" style="172" customWidth="1"/>
    <col min="14851" max="14851" width="33.5" style="172" bestFit="1" customWidth="1"/>
    <col min="14852" max="14852" width="45.5" style="172" bestFit="1" customWidth="1"/>
    <col min="14853" max="14853" width="8.796875" style="172" customWidth="1"/>
    <col min="14854" max="14854" width="47.19921875" style="172" customWidth="1"/>
    <col min="14855" max="14855" width="10.19921875" style="172" customWidth="1"/>
    <col min="14856" max="14856" width="41.796875" style="172" customWidth="1"/>
    <col min="14857" max="14857" width="11.19921875" style="172" customWidth="1"/>
    <col min="14858" max="14858" width="10.5" style="172" customWidth="1"/>
    <col min="14859" max="14859" width="16" style="172" bestFit="1" customWidth="1"/>
    <col min="14860" max="14860" width="13.19921875" style="172" customWidth="1"/>
    <col min="14861" max="14861" width="11.796875" style="172" customWidth="1"/>
    <col min="14862" max="14862" width="9.69921875" style="172" customWidth="1"/>
    <col min="14863" max="15104" width="10.69921875" style="172"/>
    <col min="15105" max="15105" width="9" style="172" customWidth="1"/>
    <col min="15106" max="15106" width="6.296875" style="172" customWidth="1"/>
    <col min="15107" max="15107" width="33.5" style="172" bestFit="1" customWidth="1"/>
    <col min="15108" max="15108" width="45.5" style="172" bestFit="1" customWidth="1"/>
    <col min="15109" max="15109" width="8.796875" style="172" customWidth="1"/>
    <col min="15110" max="15110" width="47.19921875" style="172" customWidth="1"/>
    <col min="15111" max="15111" width="10.19921875" style="172" customWidth="1"/>
    <col min="15112" max="15112" width="41.796875" style="172" customWidth="1"/>
    <col min="15113" max="15113" width="11.19921875" style="172" customWidth="1"/>
    <col min="15114" max="15114" width="10.5" style="172" customWidth="1"/>
    <col min="15115" max="15115" width="16" style="172" bestFit="1" customWidth="1"/>
    <col min="15116" max="15116" width="13.19921875" style="172" customWidth="1"/>
    <col min="15117" max="15117" width="11.796875" style="172" customWidth="1"/>
    <col min="15118" max="15118" width="9.69921875" style="172" customWidth="1"/>
    <col min="15119" max="15360" width="10.69921875" style="172"/>
    <col min="15361" max="15361" width="9" style="172" customWidth="1"/>
    <col min="15362" max="15362" width="6.296875" style="172" customWidth="1"/>
    <col min="15363" max="15363" width="33.5" style="172" bestFit="1" customWidth="1"/>
    <col min="15364" max="15364" width="45.5" style="172" bestFit="1" customWidth="1"/>
    <col min="15365" max="15365" width="8.796875" style="172" customWidth="1"/>
    <col min="15366" max="15366" width="47.19921875" style="172" customWidth="1"/>
    <col min="15367" max="15367" width="10.19921875" style="172" customWidth="1"/>
    <col min="15368" max="15368" width="41.796875" style="172" customWidth="1"/>
    <col min="15369" max="15369" width="11.19921875" style="172" customWidth="1"/>
    <col min="15370" max="15370" width="10.5" style="172" customWidth="1"/>
    <col min="15371" max="15371" width="16" style="172" bestFit="1" customWidth="1"/>
    <col min="15372" max="15372" width="13.19921875" style="172" customWidth="1"/>
    <col min="15373" max="15373" width="11.796875" style="172" customWidth="1"/>
    <col min="15374" max="15374" width="9.69921875" style="172" customWidth="1"/>
    <col min="15375" max="15616" width="10.69921875" style="172"/>
    <col min="15617" max="15617" width="9" style="172" customWidth="1"/>
    <col min="15618" max="15618" width="6.296875" style="172" customWidth="1"/>
    <col min="15619" max="15619" width="33.5" style="172" bestFit="1" customWidth="1"/>
    <col min="15620" max="15620" width="45.5" style="172" bestFit="1" customWidth="1"/>
    <col min="15621" max="15621" width="8.796875" style="172" customWidth="1"/>
    <col min="15622" max="15622" width="47.19921875" style="172" customWidth="1"/>
    <col min="15623" max="15623" width="10.19921875" style="172" customWidth="1"/>
    <col min="15624" max="15624" width="41.796875" style="172" customWidth="1"/>
    <col min="15625" max="15625" width="11.19921875" style="172" customWidth="1"/>
    <col min="15626" max="15626" width="10.5" style="172" customWidth="1"/>
    <col min="15627" max="15627" width="16" style="172" bestFit="1" customWidth="1"/>
    <col min="15628" max="15628" width="13.19921875" style="172" customWidth="1"/>
    <col min="15629" max="15629" width="11.796875" style="172" customWidth="1"/>
    <col min="15630" max="15630" width="9.69921875" style="172" customWidth="1"/>
    <col min="15631" max="15872" width="10.69921875" style="172"/>
    <col min="15873" max="15873" width="9" style="172" customWidth="1"/>
    <col min="15874" max="15874" width="6.296875" style="172" customWidth="1"/>
    <col min="15875" max="15875" width="33.5" style="172" bestFit="1" customWidth="1"/>
    <col min="15876" max="15876" width="45.5" style="172" bestFit="1" customWidth="1"/>
    <col min="15877" max="15877" width="8.796875" style="172" customWidth="1"/>
    <col min="15878" max="15878" width="47.19921875" style="172" customWidth="1"/>
    <col min="15879" max="15879" width="10.19921875" style="172" customWidth="1"/>
    <col min="15880" max="15880" width="41.796875" style="172" customWidth="1"/>
    <col min="15881" max="15881" width="11.19921875" style="172" customWidth="1"/>
    <col min="15882" max="15882" width="10.5" style="172" customWidth="1"/>
    <col min="15883" max="15883" width="16" style="172" bestFit="1" customWidth="1"/>
    <col min="15884" max="15884" width="13.19921875" style="172" customWidth="1"/>
    <col min="15885" max="15885" width="11.796875" style="172" customWidth="1"/>
    <col min="15886" max="15886" width="9.69921875" style="172" customWidth="1"/>
    <col min="15887" max="16128" width="10.69921875" style="172"/>
    <col min="16129" max="16129" width="9" style="172" customWidth="1"/>
    <col min="16130" max="16130" width="6.296875" style="172" customWidth="1"/>
    <col min="16131" max="16131" width="33.5" style="172" bestFit="1" customWidth="1"/>
    <col min="16132" max="16132" width="45.5" style="172" bestFit="1" customWidth="1"/>
    <col min="16133" max="16133" width="8.796875" style="172" customWidth="1"/>
    <col min="16134" max="16134" width="47.19921875" style="172" customWidth="1"/>
    <col min="16135" max="16135" width="10.19921875" style="172" customWidth="1"/>
    <col min="16136" max="16136" width="41.796875" style="172" customWidth="1"/>
    <col min="16137" max="16137" width="11.19921875" style="172" customWidth="1"/>
    <col min="16138" max="16138" width="10.5" style="172" customWidth="1"/>
    <col min="16139" max="16139" width="16" style="172" bestFit="1" customWidth="1"/>
    <col min="16140" max="16140" width="13.19921875" style="172" customWidth="1"/>
    <col min="16141" max="16141" width="11.796875" style="172" customWidth="1"/>
    <col min="16142" max="16142" width="9.69921875" style="172" customWidth="1"/>
    <col min="16143" max="16384" width="10.69921875" style="172"/>
  </cols>
  <sheetData>
    <row r="1" spans="1:27" ht="14.25" customHeight="1" x14ac:dyDescent="0.35">
      <c r="A1" s="171"/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200"/>
      <c r="U1" s="200"/>
      <c r="V1" s="200"/>
      <c r="W1" s="200"/>
      <c r="X1" s="200"/>
    </row>
    <row r="2" spans="1:27" ht="14.25" customHeight="1" x14ac:dyDescent="0.35">
      <c r="A2" s="173" t="s">
        <v>558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201"/>
      <c r="U2" s="201"/>
      <c r="V2" s="201"/>
      <c r="W2" s="201"/>
      <c r="X2" s="201"/>
    </row>
    <row r="3" spans="1:27" ht="14.25" customHeight="1" x14ac:dyDescent="0.35">
      <c r="A3" s="171"/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200"/>
      <c r="U3" s="200"/>
      <c r="V3" s="200"/>
      <c r="W3" s="200"/>
      <c r="X3" s="200"/>
    </row>
    <row r="4" spans="1:27" ht="15.5" x14ac:dyDescent="0.35">
      <c r="A4" s="174" t="s">
        <v>43</v>
      </c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5"/>
      <c r="M4" s="175"/>
      <c r="N4" s="174" t="s">
        <v>1</v>
      </c>
      <c r="P4" s="199"/>
      <c r="Q4" s="199"/>
      <c r="R4" s="199"/>
      <c r="S4" s="202" t="s">
        <v>166</v>
      </c>
      <c r="U4" s="199"/>
      <c r="V4" s="199"/>
      <c r="W4" s="199"/>
      <c r="X4" s="199"/>
    </row>
    <row r="5" spans="1:27" x14ac:dyDescent="0.35">
      <c r="A5" s="176" t="s">
        <v>190</v>
      </c>
      <c r="B5" s="176" t="s">
        <v>191</v>
      </c>
      <c r="C5" s="176" t="s">
        <v>192</v>
      </c>
      <c r="D5" s="176" t="s">
        <v>193</v>
      </c>
      <c r="E5" s="176" t="s">
        <v>194</v>
      </c>
      <c r="F5" s="176" t="s">
        <v>227</v>
      </c>
      <c r="G5" s="176" t="s">
        <v>196</v>
      </c>
      <c r="H5" s="176" t="s">
        <v>197</v>
      </c>
      <c r="I5" s="176" t="s">
        <v>198</v>
      </c>
      <c r="J5" s="176" t="s">
        <v>2</v>
      </c>
      <c r="K5" s="177" t="s">
        <v>199</v>
      </c>
      <c r="L5" s="178" t="s">
        <v>214</v>
      </c>
      <c r="M5" s="178" t="s">
        <v>217</v>
      </c>
      <c r="N5" s="178" t="s">
        <v>254</v>
      </c>
      <c r="O5" s="178" t="s">
        <v>218</v>
      </c>
      <c r="P5" s="178" t="s">
        <v>219</v>
      </c>
      <c r="Q5" s="198" t="s">
        <v>228</v>
      </c>
      <c r="R5" s="198" t="s">
        <v>229</v>
      </c>
      <c r="S5" s="198" t="s">
        <v>255</v>
      </c>
      <c r="T5" s="198" t="s">
        <v>230</v>
      </c>
      <c r="U5" s="198" t="s">
        <v>231</v>
      </c>
      <c r="W5" s="172" t="s">
        <v>354</v>
      </c>
    </row>
    <row r="6" spans="1:27" x14ac:dyDescent="0.35">
      <c r="A6" s="186">
        <v>1</v>
      </c>
      <c r="B6" s="176">
        <v>2</v>
      </c>
      <c r="C6" s="280" t="s">
        <v>447</v>
      </c>
      <c r="D6" s="179" t="s">
        <v>449</v>
      </c>
      <c r="E6" s="179" t="s">
        <v>432</v>
      </c>
      <c r="F6" s="179" t="s">
        <v>452</v>
      </c>
      <c r="G6" s="179" t="s">
        <v>432</v>
      </c>
      <c r="H6" s="179" t="s">
        <v>413</v>
      </c>
      <c r="I6" s="180" t="s">
        <v>200</v>
      </c>
      <c r="J6" s="180">
        <v>1</v>
      </c>
      <c r="K6" s="181"/>
      <c r="L6" s="183" t="str">
        <f>IF(AND(E6="M",Tabla156121722[[#This Row],[POS]]&lt;&gt;"AB",Tabla156121722[[#This Row],[POS]]&lt;&gt;"DSQ"),COUNTIF($E$6:E6,"M"),"")</f>
        <v/>
      </c>
      <c r="M6" s="183" t="str">
        <f>IF(E6="M",IF(Tabla156121722[[#This Row],[Tiempo]]="AB","",LOOKUP(Tabla156121722[[#This Row],[CLAS SCRATCH]],'Datos puntos'!$A$2:$A$23,'Datos puntos'!$B$2:$B$23)),"")</f>
        <v/>
      </c>
      <c r="N6" s="183" t="str">
        <f>IF(AND(E6="M",Tabla156121722[[#This Row],[POS]]&lt;&gt;"AB",Tabla156121722[[#This Row],[POS]]&lt;&gt;"DSQ"),COUNTIFS($J$6:J6,Tabla156121722[[#This Row],[Clase]],$E$6:E6,"M"),"")</f>
        <v/>
      </c>
      <c r="O6" s="183" t="str">
        <f>IF(E6="M",IF(Tabla156121722[[#This Row],[Tiempo]]="AB","",LOOKUP(Tabla156121722[[#This Row],[CLAS CLASE]],'Datos puntos'!$A$25:$A$53,'Datos puntos'!$B$25:$B$53)),"")</f>
        <v/>
      </c>
      <c r="P6" s="183" t="str">
        <f>IF(Tabla156121722[[#This Row],[Puntos scratch]]="","NO PUNTÚA",SUM(Tabla156121722[[#This Row],[Puntos scratch]],Tabla156121722[[#This Row],[Puntos clase]])*2)</f>
        <v>NO PUNTÚA</v>
      </c>
      <c r="Q6" s="183" t="str">
        <f>IF(AND(G6="M",Tabla156121722[[#This Row],[POS]]&lt;&gt;"AB",Tabla156121722[[#This Row],[POS]]&lt;&gt;"DSQ"),COUNTIF($G$6:G6,"M"),"")</f>
        <v/>
      </c>
      <c r="R6" s="183" t="str">
        <f>IF(G6="M",IF(Tabla156121722[[#This Row],[Tiempo]]="AB","",LOOKUP(Tabla156121722[[#This Row],[CLAS SCRATCH2]],'Datos puntos'!$A$2:$A$23,'Datos puntos'!$B$2:$B$23)),"")</f>
        <v/>
      </c>
      <c r="S6" s="183" t="str">
        <f>IF(AND(G6="M",Tabla156121722[[#This Row],[POS]]&lt;&gt;"AB",Tabla156121722[[#This Row],[POS]]&lt;&gt;"DSQ"),COUNTIFS($J$6:J6,Tabla156121722[[#This Row],[Clase]],$G$6:G6,"M"),"")</f>
        <v/>
      </c>
      <c r="T6" s="183" t="str">
        <f>IF(G6="M",IF(Tabla156121722[[#This Row],[Tiempo]]="AB","",LOOKUP(Tabla156121722[[#This Row],[CLAS CLASE2]],'Datos puntos'!$A$25:$A$53,'Datos puntos'!$B$25:$B$53)),"")</f>
        <v/>
      </c>
      <c r="U6" s="183" t="str">
        <f>IF(Tabla156121722[[#This Row],[Puntos scratch3]]="","NO PUNTÚA",SUM(Tabla156121722[[#This Row],[Puntos scratch3]],Tabla156121722[[#This Row],[Puntos clase5]])*2)</f>
        <v>NO PUNTÚA</v>
      </c>
      <c r="W6" s="241">
        <v>20</v>
      </c>
      <c r="X6" s="250" t="s">
        <v>232</v>
      </c>
      <c r="Z6" s="250" t="s">
        <v>232</v>
      </c>
      <c r="AA6" s="185">
        <v>45</v>
      </c>
    </row>
    <row r="7" spans="1:27" s="185" customFormat="1" x14ac:dyDescent="0.35">
      <c r="A7" s="176">
        <v>2</v>
      </c>
      <c r="B7" s="176">
        <v>5</v>
      </c>
      <c r="C7" s="179" t="s">
        <v>361</v>
      </c>
      <c r="D7" s="179" t="s">
        <v>364</v>
      </c>
      <c r="E7" s="179" t="s">
        <v>168</v>
      </c>
      <c r="F7" s="179" t="s">
        <v>453</v>
      </c>
      <c r="G7" s="179" t="s">
        <v>405</v>
      </c>
      <c r="H7" s="179" t="s">
        <v>294</v>
      </c>
      <c r="I7" s="180" t="s">
        <v>200</v>
      </c>
      <c r="J7" s="180">
        <v>1</v>
      </c>
      <c r="K7" s="181"/>
      <c r="L7" s="183">
        <f>IF(AND(E7="M",Tabla156121722[[#This Row],[POS]]&lt;&gt;"AB",Tabla156121722[[#This Row],[POS]]&lt;&gt;"DSQ"),COUNTIF($E$6:E7,"M"),"")</f>
        <v>1</v>
      </c>
      <c r="M7" s="183">
        <f>IF(E7="M",IF(Tabla156121722[[#This Row],[Tiempo]]="AB","",LOOKUP(Tabla156121722[[#This Row],[CLAS SCRATCH]],'Datos puntos'!$A$2:$A$23,'Datos puntos'!$B$2:$B$23)),"")</f>
        <v>25</v>
      </c>
      <c r="N7" s="183">
        <f>IF(AND(E7="M",Tabla156121722[[#This Row],[POS]]&lt;&gt;"AB",Tabla156121722[[#This Row],[POS]]&lt;&gt;"DSQ"),COUNTIFS($J$6:J7,Tabla156121722[[#This Row],[Clase]],$E$6:E7,"M"),"")</f>
        <v>1</v>
      </c>
      <c r="O7" s="183">
        <f>IF(E7="M",IF(Tabla156121722[[#This Row],[Tiempo]]="AB","",LOOKUP(Tabla156121722[[#This Row],[CLAS CLASE]],'Datos puntos'!$A$25:$A$53,'Datos puntos'!$B$25:$B$53)),"")</f>
        <v>10</v>
      </c>
      <c r="P7" s="183">
        <f>IF(Tabla156121722[[#This Row],[Puntos scratch]]="","NO PUNTÚA",SUM(Tabla156121722[[#This Row],[Puntos scratch]],Tabla156121722[[#This Row],[Puntos clase]])*2)</f>
        <v>70</v>
      </c>
      <c r="Q7" s="183" t="str">
        <f>IF(AND(G7="M",Tabla156121722[[#This Row],[POS]]&lt;&gt;"AB",Tabla156121722[[#This Row],[POS]]&lt;&gt;"DSQ"),COUNTIF($G$6:G7,"M"),"")</f>
        <v/>
      </c>
      <c r="R7" s="183" t="str">
        <f>IF(G7="M",IF(Tabla156121722[[#This Row],[Tiempo]]="AB","",LOOKUP(Tabla156121722[[#This Row],[CLAS SCRATCH2]],'Datos puntos'!$A$2:$A$23,'Datos puntos'!$B$2:$B$23)),"")</f>
        <v/>
      </c>
      <c r="S7" s="183" t="str">
        <f>IF(AND(G7="M",Tabla156121722[[#This Row],[POS]]&lt;&gt;"AB",Tabla156121722[[#This Row],[POS]]&lt;&gt;"DSQ"),COUNTIFS($J$6:J7,Tabla156121722[[#This Row],[Clase]],$G$6:G7,"M"),"")</f>
        <v/>
      </c>
      <c r="T7" s="183" t="str">
        <f>IF(G7="M",IF(Tabla156121722[[#This Row],[Tiempo]]="AB","",LOOKUP(Tabla156121722[[#This Row],[CLAS CLASE2]],'Datos puntos'!$A$25:$A$53,'Datos puntos'!$B$25:$B$53)),"")</f>
        <v/>
      </c>
      <c r="U7" s="183" t="str">
        <f>IF(Tabla156121722[[#This Row],[Puntos scratch3]]="","NO PUNTÚA",SUM(Tabla156121722[[#This Row],[Puntos scratch3]],Tabla156121722[[#This Row],[Puntos clase5]])*2)</f>
        <v>NO PUNTÚA</v>
      </c>
      <c r="W7" s="241">
        <v>17</v>
      </c>
      <c r="X7" s="250" t="s">
        <v>232</v>
      </c>
      <c r="Z7" s="253" t="s">
        <v>189</v>
      </c>
      <c r="AA7" s="172">
        <v>20</v>
      </c>
    </row>
    <row r="8" spans="1:27" x14ac:dyDescent="0.35">
      <c r="A8" s="176">
        <v>3</v>
      </c>
      <c r="B8" s="176">
        <v>1</v>
      </c>
      <c r="C8" s="268" t="s">
        <v>401</v>
      </c>
      <c r="D8" s="179" t="s">
        <v>225</v>
      </c>
      <c r="E8" s="179" t="s">
        <v>168</v>
      </c>
      <c r="F8" s="179" t="s">
        <v>233</v>
      </c>
      <c r="G8" s="179" t="s">
        <v>168</v>
      </c>
      <c r="H8" s="179" t="s">
        <v>418</v>
      </c>
      <c r="I8" s="180" t="s">
        <v>200</v>
      </c>
      <c r="J8" s="180">
        <v>1</v>
      </c>
      <c r="K8" s="181"/>
      <c r="L8" s="183">
        <f>IF(AND(E8="M",Tabla156121722[[#This Row],[POS]]&lt;&gt;"AB",Tabla156121722[[#This Row],[POS]]&lt;&gt;"DSQ"),COUNTIF($E$6:E8,"M"),"")</f>
        <v>2</v>
      </c>
      <c r="M8" s="183">
        <f>IF(E8="M",IF(Tabla156121722[[#This Row],[Tiempo]]="AB","",LOOKUP(Tabla156121722[[#This Row],[CLAS SCRATCH]],'Datos puntos'!$A$2:$A$23,'Datos puntos'!$B$2:$B$23)),"")</f>
        <v>20</v>
      </c>
      <c r="N8" s="183">
        <f>IF(AND(E8="M",Tabla156121722[[#This Row],[POS]]&lt;&gt;"AB",Tabla156121722[[#This Row],[POS]]&lt;&gt;"DSQ"),COUNTIFS($J$6:J8,Tabla156121722[[#This Row],[Clase]],$E$6:E8,"M"),"")</f>
        <v>2</v>
      </c>
      <c r="O8" s="183">
        <f>IF(E8="M",IF(Tabla156121722[[#This Row],[Tiempo]]="AB","",LOOKUP(Tabla156121722[[#This Row],[CLAS CLASE]],'Datos puntos'!$A$25:$A$53,'Datos puntos'!$B$25:$B$53)),"")</f>
        <v>8</v>
      </c>
      <c r="P8" s="183">
        <f>IF(Tabla156121722[[#This Row],[Puntos scratch]]="","NO PUNTÚA",SUM(Tabla156121722[[#This Row],[Puntos scratch]],Tabla156121722[[#This Row],[Puntos clase]])*2)</f>
        <v>56</v>
      </c>
      <c r="Q8" s="183">
        <f>IF(AND(G8="M",Tabla156121722[[#This Row],[POS]]&lt;&gt;"AB",Tabla156121722[[#This Row],[POS]]&lt;&gt;"DSQ"),COUNTIF($G$6:G8,"M"),"")</f>
        <v>1</v>
      </c>
      <c r="R8" s="183">
        <f>IF(G8="M",IF(Tabla156121722[[#This Row],[Tiempo]]="AB","",LOOKUP(Tabla156121722[[#This Row],[CLAS SCRATCH2]],'Datos puntos'!$A$2:$A$23,'Datos puntos'!$B$2:$B$23)),"")</f>
        <v>25</v>
      </c>
      <c r="S8" s="183">
        <f>IF(AND(G8="M",Tabla156121722[[#This Row],[POS]]&lt;&gt;"AB",Tabla156121722[[#This Row],[POS]]&lt;&gt;"DSQ"),COUNTIFS($J$6:J8,Tabla156121722[[#This Row],[Clase]],$G$6:G8,"M"),"")</f>
        <v>1</v>
      </c>
      <c r="T8" s="183">
        <f>IF(G8="M",IF(Tabla156121722[[#This Row],[Tiempo]]="AB","",LOOKUP(Tabla156121722[[#This Row],[CLAS CLASE2]],'Datos puntos'!$A$25:$A$53,'Datos puntos'!$B$25:$B$53)),"")</f>
        <v>10</v>
      </c>
      <c r="U8" s="183">
        <f>IF(Tabla156121722[[#This Row],[Puntos scratch3]]="","NO PUNTÚA",SUM(Tabla156121722[[#This Row],[Puntos scratch3]],Tabla156121722[[#This Row],[Puntos clase5]])*2)</f>
        <v>70</v>
      </c>
      <c r="W8" s="241">
        <v>14</v>
      </c>
      <c r="X8" s="253" t="s">
        <v>189</v>
      </c>
      <c r="Z8" s="251" t="s">
        <v>175</v>
      </c>
      <c r="AA8" s="172">
        <v>12</v>
      </c>
    </row>
    <row r="9" spans="1:27" x14ac:dyDescent="0.35">
      <c r="A9" s="176">
        <v>4</v>
      </c>
      <c r="B9" s="176">
        <v>6</v>
      </c>
      <c r="C9" s="250" t="s">
        <v>232</v>
      </c>
      <c r="D9" s="179" t="s">
        <v>295</v>
      </c>
      <c r="E9" s="179" t="s">
        <v>168</v>
      </c>
      <c r="F9" s="179" t="s">
        <v>240</v>
      </c>
      <c r="G9" s="179" t="s">
        <v>168</v>
      </c>
      <c r="H9" s="179" t="s">
        <v>170</v>
      </c>
      <c r="I9" s="180" t="s">
        <v>24</v>
      </c>
      <c r="J9" s="180">
        <v>2</v>
      </c>
      <c r="K9" s="181"/>
      <c r="L9" s="183">
        <f>IF(AND(E9="M",Tabla156121722[[#This Row],[POS]]&lt;&gt;"AB",Tabla156121722[[#This Row],[POS]]&lt;&gt;"DSQ"),COUNTIF($E$6:E9,"M"),"")</f>
        <v>3</v>
      </c>
      <c r="M9" s="183">
        <f>IF(E9="M",IF(Tabla156121722[[#This Row],[Tiempo]]="AB","",LOOKUP(Tabla156121722[[#This Row],[CLAS SCRATCH]],'Datos puntos'!$A$2:$A$23,'Datos puntos'!$B$2:$B$23)),"")</f>
        <v>17</v>
      </c>
      <c r="N9" s="183">
        <f>IF(AND(E9="M",Tabla156121722[[#This Row],[POS]]&lt;&gt;"AB",Tabla156121722[[#This Row],[POS]]&lt;&gt;"DSQ"),COUNTIFS($J$6:J9,Tabla156121722[[#This Row],[Clase]],$E$6:E9,"M"),"")</f>
        <v>1</v>
      </c>
      <c r="O9" s="183">
        <f>IF(E9="M",IF(Tabla156121722[[#This Row],[Tiempo]]="AB","",LOOKUP(Tabla156121722[[#This Row],[CLAS CLASE]],'Datos puntos'!$A$25:$A$53,'Datos puntos'!$B$25:$B$53)),"")</f>
        <v>10</v>
      </c>
      <c r="P9" s="183">
        <f>IF(Tabla156121722[[#This Row],[Puntos scratch]]="","NO PUNTÚA",SUM(Tabla156121722[[#This Row],[Puntos scratch]],Tabla156121722[[#This Row],[Puntos clase]])*2)</f>
        <v>54</v>
      </c>
      <c r="Q9" s="183">
        <f>IF(AND(G9="M",Tabla156121722[[#This Row],[POS]]&lt;&gt;"AB",Tabla156121722[[#This Row],[POS]]&lt;&gt;"DSQ"),COUNTIF($G$6:G9,"M"),"")</f>
        <v>2</v>
      </c>
      <c r="R9" s="183">
        <f>IF(G9="M",IF(Tabla156121722[[#This Row],[Tiempo]]="AB","",LOOKUP(Tabla156121722[[#This Row],[CLAS SCRATCH2]],'Datos puntos'!$A$2:$A$23,'Datos puntos'!$B$2:$B$23)),"")</f>
        <v>20</v>
      </c>
      <c r="S9" s="183">
        <f>IF(AND(G9="M",Tabla156121722[[#This Row],[POS]]&lt;&gt;"AB",Tabla156121722[[#This Row],[POS]]&lt;&gt;"DSQ"),COUNTIFS($J$6:J9,Tabla156121722[[#This Row],[Clase]],$G$6:G9,"M"),"")</f>
        <v>1</v>
      </c>
      <c r="T9" s="183">
        <f>IF(G9="M",IF(Tabla156121722[[#This Row],[Tiempo]]="AB","",LOOKUP(Tabla156121722[[#This Row],[CLAS CLASE2]],'Datos puntos'!$A$25:$A$53,'Datos puntos'!$B$25:$B$53)),"")</f>
        <v>10</v>
      </c>
      <c r="U9" s="183">
        <f>IF(Tabla156121722[[#This Row],[Puntos scratch3]]="","NO PUNTÚA",SUM(Tabla156121722[[#This Row],[Puntos scratch3]],Tabla156121722[[#This Row],[Puntos clase5]])*2)</f>
        <v>60</v>
      </c>
      <c r="W9" s="241">
        <v>12</v>
      </c>
      <c r="X9" s="251" t="s">
        <v>175</v>
      </c>
      <c r="Z9" s="292" t="s">
        <v>172</v>
      </c>
      <c r="AA9" s="172">
        <v>11</v>
      </c>
    </row>
    <row r="10" spans="1:27" x14ac:dyDescent="0.35">
      <c r="A10" s="176">
        <v>5</v>
      </c>
      <c r="B10" s="176">
        <v>7</v>
      </c>
      <c r="C10" s="250" t="s">
        <v>232</v>
      </c>
      <c r="D10" s="179" t="s">
        <v>226</v>
      </c>
      <c r="E10" s="179" t="s">
        <v>168</v>
      </c>
      <c r="F10" s="179" t="s">
        <v>237</v>
      </c>
      <c r="G10" s="179" t="s">
        <v>168</v>
      </c>
      <c r="H10" s="179" t="s">
        <v>170</v>
      </c>
      <c r="I10" s="180" t="s">
        <v>24</v>
      </c>
      <c r="J10" s="180">
        <v>2</v>
      </c>
      <c r="K10" s="181"/>
      <c r="L10" s="183">
        <f>IF(AND(E10="M",Tabla156121722[[#This Row],[POS]]&lt;&gt;"AB",Tabla156121722[[#This Row],[POS]]&lt;&gt;"DSQ"),COUNTIF($E$6:E10,"M"),"")</f>
        <v>4</v>
      </c>
      <c r="M10" s="183">
        <f>IF(E10="M",IF(Tabla156121722[[#This Row],[Tiempo]]="AB","",LOOKUP(Tabla156121722[[#This Row],[CLAS SCRATCH]],'Datos puntos'!$A$2:$A$23,'Datos puntos'!$B$2:$B$23)),"")</f>
        <v>15</v>
      </c>
      <c r="N10" s="183">
        <f>IF(AND(E10="M",Tabla156121722[[#This Row],[POS]]&lt;&gt;"AB",Tabla156121722[[#This Row],[POS]]&lt;&gt;"DSQ"),COUNTIFS($J$6:J10,Tabla156121722[[#This Row],[Clase]],$E$6:E10,"M"),"")</f>
        <v>2</v>
      </c>
      <c r="O10" s="183">
        <f>IF(E10="M",IF(Tabla156121722[[#This Row],[Tiempo]]="AB","",LOOKUP(Tabla156121722[[#This Row],[CLAS CLASE]],'Datos puntos'!$A$25:$A$53,'Datos puntos'!$B$25:$B$53)),"")</f>
        <v>8</v>
      </c>
      <c r="P10" s="183">
        <f>IF(Tabla156121722[[#This Row],[Puntos scratch]]="","NO PUNTÚA",SUM(Tabla156121722[[#This Row],[Puntos scratch]],Tabla156121722[[#This Row],[Puntos clase]])*2)</f>
        <v>46</v>
      </c>
      <c r="Q10" s="183">
        <f>IF(AND(G10="M",Tabla156121722[[#This Row],[POS]]&lt;&gt;"AB",Tabla156121722[[#This Row],[POS]]&lt;&gt;"DSQ"),COUNTIF($G$6:G10,"M"),"")</f>
        <v>3</v>
      </c>
      <c r="R10" s="183">
        <f>IF(G10="M",IF(Tabla156121722[[#This Row],[Tiempo]]="AB","",LOOKUP(Tabla156121722[[#This Row],[CLAS SCRATCH2]],'Datos puntos'!$A$2:$A$23,'Datos puntos'!$B$2:$B$23)),"")</f>
        <v>17</v>
      </c>
      <c r="S10" s="183">
        <f>IF(AND(G10="M",Tabla156121722[[#This Row],[POS]]&lt;&gt;"AB",Tabla156121722[[#This Row],[POS]]&lt;&gt;"DSQ"),COUNTIFS($J$6:J10,Tabla156121722[[#This Row],[Clase]],$G$6:G10,"M"),"")</f>
        <v>2</v>
      </c>
      <c r="T10" s="183">
        <f>IF(G10="M",IF(Tabla156121722[[#This Row],[Tiempo]]="AB","",LOOKUP(Tabla156121722[[#This Row],[CLAS CLASE2]],'Datos puntos'!$A$25:$A$53,'Datos puntos'!$B$25:$B$53)),"")</f>
        <v>8</v>
      </c>
      <c r="U10" s="183">
        <f>IF(Tabla156121722[[#This Row],[Puntos scratch3]]="","NO PUNTÚA",SUM(Tabla156121722[[#This Row],[Puntos scratch3]],Tabla156121722[[#This Row],[Puntos clase5]])*2)</f>
        <v>50</v>
      </c>
      <c r="W10" s="241">
        <v>10</v>
      </c>
      <c r="X10" s="292" t="s">
        <v>362</v>
      </c>
      <c r="Z10" s="298" t="s">
        <v>299</v>
      </c>
      <c r="AA10" s="172">
        <v>5</v>
      </c>
    </row>
    <row r="11" spans="1:27" x14ac:dyDescent="0.35">
      <c r="A11" s="176">
        <v>6</v>
      </c>
      <c r="B11" s="176">
        <v>15</v>
      </c>
      <c r="C11" s="253" t="s">
        <v>189</v>
      </c>
      <c r="D11" s="179" t="s">
        <v>249</v>
      </c>
      <c r="E11" s="179" t="s">
        <v>168</v>
      </c>
      <c r="F11" s="179" t="s">
        <v>251</v>
      </c>
      <c r="G11" s="179" t="s">
        <v>168</v>
      </c>
      <c r="H11" s="179" t="s">
        <v>239</v>
      </c>
      <c r="I11" s="180" t="s">
        <v>24</v>
      </c>
      <c r="J11" s="180">
        <v>2</v>
      </c>
      <c r="K11" s="181"/>
      <c r="L11" s="183">
        <f>IF(AND(E11="M",Tabla156121722[[#This Row],[POS]]&lt;&gt;"AB",Tabla156121722[[#This Row],[POS]]&lt;&gt;"DSQ"),COUNTIF($E$6:E11,"M"),"")</f>
        <v>5</v>
      </c>
      <c r="M11" s="183">
        <f>IF(E11="M",IF(Tabla156121722[[#This Row],[Tiempo]]="AB","",LOOKUP(Tabla156121722[[#This Row],[CLAS SCRATCH]],'Datos puntos'!$A$2:$A$23,'Datos puntos'!$B$2:$B$23)),"")</f>
        <v>12</v>
      </c>
      <c r="N11" s="183">
        <f>IF(AND(E11="M",Tabla156121722[[#This Row],[POS]]&lt;&gt;"AB",Tabla156121722[[#This Row],[POS]]&lt;&gt;"DSQ"),COUNTIFS($J$6:J11,Tabla156121722[[#This Row],[Clase]],$E$6:E11,"M"),"")</f>
        <v>3</v>
      </c>
      <c r="O11" s="183">
        <f>IF(E11="M",IF(Tabla156121722[[#This Row],[Tiempo]]="AB","",LOOKUP(Tabla156121722[[#This Row],[CLAS CLASE]],'Datos puntos'!$A$25:$A$53,'Datos puntos'!$B$25:$B$53)),"")</f>
        <v>6</v>
      </c>
      <c r="P11" s="183">
        <f>IF(Tabla156121722[[#This Row],[Puntos scratch]]="","NO PUNTÚA",SUM(Tabla156121722[[#This Row],[Puntos scratch]],Tabla156121722[[#This Row],[Puntos clase]])*2)</f>
        <v>36</v>
      </c>
      <c r="Q11" s="183">
        <f>IF(AND(G11="M",Tabla156121722[[#This Row],[POS]]&lt;&gt;"AB",Tabla156121722[[#This Row],[POS]]&lt;&gt;"DSQ"),COUNTIF($G$6:G11,"M"),"")</f>
        <v>4</v>
      </c>
      <c r="R11" s="183">
        <f>IF(G11="M",IF(Tabla156121722[[#This Row],[Tiempo]]="AB","",LOOKUP(Tabla156121722[[#This Row],[CLAS SCRATCH2]],'Datos puntos'!$A$2:$A$23,'Datos puntos'!$B$2:$B$23)),"")</f>
        <v>15</v>
      </c>
      <c r="S11" s="183">
        <f>IF(AND(G11="M",Tabla156121722[[#This Row],[POS]]&lt;&gt;"AB",Tabla156121722[[#This Row],[POS]]&lt;&gt;"DSQ"),COUNTIFS($J$6:J11,Tabla156121722[[#This Row],[Clase]],$G$6:G11,"M"),"")</f>
        <v>3</v>
      </c>
      <c r="T11" s="183">
        <f>IF(G11="M",IF(Tabla156121722[[#This Row],[Tiempo]]="AB","",LOOKUP(Tabla156121722[[#This Row],[CLAS CLASE2]],'Datos puntos'!$A$25:$A$53,'Datos puntos'!$B$25:$B$53)),"")</f>
        <v>6</v>
      </c>
      <c r="U11" s="183">
        <f>IF(Tabla156121722[[#This Row],[Puntos scratch3]]="","NO PUNTÚA",SUM(Tabla156121722[[#This Row],[Puntos scratch3]],Tabla156121722[[#This Row],[Puntos clase5]])*2)</f>
        <v>42</v>
      </c>
      <c r="W11" s="241">
        <v>8</v>
      </c>
      <c r="X11" s="250" t="s">
        <v>232</v>
      </c>
      <c r="Z11" s="263" t="s">
        <v>171</v>
      </c>
      <c r="AA11" s="172">
        <v>4</v>
      </c>
    </row>
    <row r="12" spans="1:27" x14ac:dyDescent="0.35">
      <c r="A12" s="176">
        <v>7</v>
      </c>
      <c r="B12" s="176">
        <v>14</v>
      </c>
      <c r="C12" s="251" t="s">
        <v>175</v>
      </c>
      <c r="D12" s="179" t="s">
        <v>285</v>
      </c>
      <c r="E12" s="179" t="s">
        <v>168</v>
      </c>
      <c r="F12" s="179" t="s">
        <v>454</v>
      </c>
      <c r="G12" s="179" t="s">
        <v>432</v>
      </c>
      <c r="H12" s="179" t="s">
        <v>459</v>
      </c>
      <c r="I12" s="180" t="s">
        <v>24</v>
      </c>
      <c r="J12" s="180">
        <v>3</v>
      </c>
      <c r="K12" s="181"/>
      <c r="L12" s="183">
        <f>IF(AND(E12="M",Tabla156121722[[#This Row],[POS]]&lt;&gt;"AB",Tabla156121722[[#This Row],[POS]]&lt;&gt;"DSQ"),COUNTIF($E$6:E12,"M"),"")</f>
        <v>6</v>
      </c>
      <c r="M12" s="183">
        <f>IF(E12="M",IF(Tabla156121722[[#This Row],[Tiempo]]="AB","",LOOKUP(Tabla156121722[[#This Row],[CLAS SCRATCH]],'Datos puntos'!$A$2:$A$23,'Datos puntos'!$B$2:$B$23)),"")</f>
        <v>10</v>
      </c>
      <c r="N12" s="183">
        <f>IF(AND(E12="M",Tabla156121722[[#This Row],[POS]]&lt;&gt;"AB",Tabla156121722[[#This Row],[POS]]&lt;&gt;"DSQ"),COUNTIFS($J$6:J12,Tabla156121722[[#This Row],[Clase]],$E$6:E12,"M"),"")</f>
        <v>1</v>
      </c>
      <c r="O12" s="183">
        <f>IF(E12="M",IF(Tabla156121722[[#This Row],[Tiempo]]="AB","",LOOKUP(Tabla156121722[[#This Row],[CLAS CLASE]],'Datos puntos'!$A$25:$A$53,'Datos puntos'!$B$25:$B$53)),"")</f>
        <v>10</v>
      </c>
      <c r="P12" s="183">
        <f>IF(Tabla156121722[[#This Row],[Puntos scratch]]="","NO PUNTÚA",SUM(Tabla156121722[[#This Row],[Puntos scratch]],Tabla156121722[[#This Row],[Puntos clase]])*2)</f>
        <v>40</v>
      </c>
      <c r="Q12" s="183" t="str">
        <f>IF(AND(G12="M",Tabla156121722[[#This Row],[POS]]&lt;&gt;"AB",Tabla156121722[[#This Row],[POS]]&lt;&gt;"DSQ"),COUNTIF($G$6:G12,"M"),"")</f>
        <v/>
      </c>
      <c r="R12" s="183" t="str">
        <f>IF(G12="M",IF(Tabla156121722[[#This Row],[Tiempo]]="AB","",LOOKUP(Tabla156121722[[#This Row],[CLAS SCRATCH2]],'Datos puntos'!$A$2:$A$23,'Datos puntos'!$B$2:$B$23)),"")</f>
        <v/>
      </c>
      <c r="S12" s="183" t="str">
        <f>IF(AND(G12="M",Tabla156121722[[#This Row],[POS]]&lt;&gt;"AB",Tabla156121722[[#This Row],[POS]]&lt;&gt;"DSQ"),COUNTIFS($J$6:J12,Tabla156121722[[#This Row],[Clase]],$G$6:G12,"M"),"")</f>
        <v/>
      </c>
      <c r="T12" s="183" t="str">
        <f>IF(G12="M",IF(Tabla156121722[[#This Row],[Tiempo]]="AB","",LOOKUP(Tabla156121722[[#This Row],[CLAS CLASE2]],'Datos puntos'!$A$25:$A$53,'Datos puntos'!$B$25:$B$53)),"")</f>
        <v/>
      </c>
      <c r="U12" s="183" t="str">
        <f>IF(Tabla156121722[[#This Row],[Puntos scratch3]]="","NO PUNTÚA",SUM(Tabla156121722[[#This Row],[Puntos scratch3]],Tabla156121722[[#This Row],[Puntos clase5]])*2)</f>
        <v>NO PUNTÚA</v>
      </c>
      <c r="W12" s="241">
        <v>6</v>
      </c>
      <c r="X12" s="253" t="s">
        <v>189</v>
      </c>
      <c r="Z12" s="299" t="s">
        <v>330</v>
      </c>
      <c r="AA12" s="172">
        <v>2</v>
      </c>
    </row>
    <row r="13" spans="1:27" x14ac:dyDescent="0.35">
      <c r="A13" s="176">
        <v>8</v>
      </c>
      <c r="B13" s="176">
        <v>16</v>
      </c>
      <c r="C13" s="292" t="s">
        <v>362</v>
      </c>
      <c r="D13" s="179" t="s">
        <v>368</v>
      </c>
      <c r="E13" s="179" t="s">
        <v>168</v>
      </c>
      <c r="F13" s="179" t="s">
        <v>375</v>
      </c>
      <c r="G13" s="179" t="s">
        <v>168</v>
      </c>
      <c r="H13" s="179" t="s">
        <v>201</v>
      </c>
      <c r="I13" s="180" t="s">
        <v>24</v>
      </c>
      <c r="J13" s="180">
        <v>3</v>
      </c>
      <c r="K13" s="181"/>
      <c r="L13" s="183">
        <f>IF(AND(E13="M",Tabla156121722[[#This Row],[POS]]&lt;&gt;"AB",Tabla156121722[[#This Row],[POS]]&lt;&gt;"DSQ"),COUNTIF($E$6:E13,"M"),"")</f>
        <v>7</v>
      </c>
      <c r="M13" s="183">
        <f>IF(E13="M",IF(Tabla156121722[[#This Row],[Tiempo]]="AB","",LOOKUP(Tabla156121722[[#This Row],[CLAS SCRATCH]],'Datos puntos'!$A$2:$A$23,'Datos puntos'!$B$2:$B$23)),"")</f>
        <v>8</v>
      </c>
      <c r="N13" s="183">
        <f>IF(AND(E13="M",Tabla156121722[[#This Row],[POS]]&lt;&gt;"AB",Tabla156121722[[#This Row],[POS]]&lt;&gt;"DSQ"),COUNTIFS($J$6:J13,Tabla156121722[[#This Row],[Clase]],$E$6:E13,"M"),"")</f>
        <v>2</v>
      </c>
      <c r="O13" s="183">
        <f>IF(E13="M",IF(Tabla156121722[[#This Row],[Tiempo]]="AB","",LOOKUP(Tabla156121722[[#This Row],[CLAS CLASE]],'Datos puntos'!$A$25:$A$53,'Datos puntos'!$B$25:$B$53)),"")</f>
        <v>8</v>
      </c>
      <c r="P13" s="183">
        <f>IF(Tabla156121722[[#This Row],[Puntos scratch]]="","NO PUNTÚA",SUM(Tabla156121722[[#This Row],[Puntos scratch]],Tabla156121722[[#This Row],[Puntos clase]])*2)</f>
        <v>32</v>
      </c>
      <c r="Q13" s="183">
        <f>IF(AND(G13="M",Tabla156121722[[#This Row],[POS]]&lt;&gt;"AB",Tabla156121722[[#This Row],[POS]]&lt;&gt;"DSQ"),COUNTIF($G$6:G13,"M"),"")</f>
        <v>5</v>
      </c>
      <c r="R13" s="183">
        <f>IF(G13="M",IF(Tabla156121722[[#This Row],[Tiempo]]="AB","",LOOKUP(Tabla156121722[[#This Row],[CLAS SCRATCH2]],'Datos puntos'!$A$2:$A$23,'Datos puntos'!$B$2:$B$23)),"")</f>
        <v>12</v>
      </c>
      <c r="S13" s="183">
        <f>IF(AND(G13="M",Tabla156121722[[#This Row],[POS]]&lt;&gt;"AB",Tabla156121722[[#This Row],[POS]]&lt;&gt;"DSQ"),COUNTIFS($J$6:J13,Tabla156121722[[#This Row],[Clase]],$G$6:G13,"M"),"")</f>
        <v>1</v>
      </c>
      <c r="T13" s="183">
        <f>IF(G13="M",IF(Tabla156121722[[#This Row],[Tiempo]]="AB","",LOOKUP(Tabla156121722[[#This Row],[CLAS CLASE2]],'Datos puntos'!$A$25:$A$53,'Datos puntos'!$B$25:$B$53)),"")</f>
        <v>10</v>
      </c>
      <c r="U13" s="183">
        <f>IF(Tabla156121722[[#This Row],[Puntos scratch3]]="","NO PUNTÚA",SUM(Tabla156121722[[#This Row],[Puntos scratch3]],Tabla156121722[[#This Row],[Puntos clase5]])*2)</f>
        <v>44</v>
      </c>
      <c r="W13" s="241">
        <v>5</v>
      </c>
      <c r="X13" s="298" t="s">
        <v>448</v>
      </c>
      <c r="Z13" s="300" t="s">
        <v>404</v>
      </c>
      <c r="AA13" s="172">
        <v>0</v>
      </c>
    </row>
    <row r="14" spans="1:27" x14ac:dyDescent="0.35">
      <c r="A14" s="176">
        <v>9</v>
      </c>
      <c r="B14" s="176">
        <v>17</v>
      </c>
      <c r="C14" s="293" t="s">
        <v>232</v>
      </c>
      <c r="D14" s="179" t="s">
        <v>212</v>
      </c>
      <c r="E14" s="179" t="s">
        <v>168</v>
      </c>
      <c r="F14" s="179" t="s">
        <v>456</v>
      </c>
      <c r="G14" s="179" t="s">
        <v>248</v>
      </c>
      <c r="H14" s="179" t="s">
        <v>314</v>
      </c>
      <c r="I14" s="180" t="s">
        <v>24</v>
      </c>
      <c r="J14" s="180">
        <v>3</v>
      </c>
      <c r="K14" s="181"/>
      <c r="L14" s="183">
        <f>IF(AND(E14="M",Tabla156121722[[#This Row],[POS]]&lt;&gt;"AB",Tabla156121722[[#This Row],[POS]]&lt;&gt;"DSQ"),COUNTIF($E$6:E14,"M"),"")</f>
        <v>8</v>
      </c>
      <c r="M14" s="183">
        <f>IF(E14="M",IF(Tabla156121722[[#This Row],[Tiempo]]="AB","",LOOKUP(Tabla156121722[[#This Row],[CLAS SCRATCH]],'Datos puntos'!$A$2:$A$23,'Datos puntos'!$B$2:$B$23)),"")</f>
        <v>6</v>
      </c>
      <c r="N14" s="183">
        <f>IF(AND(E14="M",Tabla156121722[[#This Row],[POS]]&lt;&gt;"AB",Tabla156121722[[#This Row],[POS]]&lt;&gt;"DSQ"),COUNTIFS($J$6:J14,Tabla156121722[[#This Row],[Clase]],$E$6:E14,"M"),"")</f>
        <v>3</v>
      </c>
      <c r="O14" s="183">
        <f>IF(E14="M",IF(Tabla156121722[[#This Row],[Tiempo]]="AB","",LOOKUP(Tabla156121722[[#This Row],[CLAS CLASE]],'Datos puntos'!$A$25:$A$53,'Datos puntos'!$B$25:$B$53)),"")</f>
        <v>6</v>
      </c>
      <c r="P14" s="183">
        <f>IF(Tabla156121722[[#This Row],[Puntos scratch]]="","NO PUNTÚA",SUM(Tabla156121722[[#This Row],[Puntos scratch]],Tabla156121722[[#This Row],[Puntos clase]])*2)</f>
        <v>24</v>
      </c>
      <c r="Q14" s="183" t="str">
        <f>IF(AND(G14="M",Tabla156121722[[#This Row],[POS]]&lt;&gt;"AB",Tabla156121722[[#This Row],[POS]]&lt;&gt;"DSQ"),COUNTIF($G$6:G14,"M"),"")</f>
        <v/>
      </c>
      <c r="R14" s="183" t="str">
        <f>IF(G14="M",IF(Tabla156121722[[#This Row],[Tiempo]]="AB","",LOOKUP(Tabla156121722[[#This Row],[CLAS SCRATCH2]],'Datos puntos'!$A$2:$A$23,'Datos puntos'!$B$2:$B$23)),"")</f>
        <v/>
      </c>
      <c r="S14" s="183" t="str">
        <f>IF(AND(G14="M",Tabla156121722[[#This Row],[POS]]&lt;&gt;"AB",Tabla156121722[[#This Row],[POS]]&lt;&gt;"DSQ"),COUNTIFS($J$6:J14,Tabla156121722[[#This Row],[Clase]],$G$6:G14,"M"),"")</f>
        <v/>
      </c>
      <c r="T14" s="183" t="str">
        <f>IF(G14="M",IF(Tabla156121722[[#This Row],[Tiempo]]="AB","",LOOKUP(Tabla156121722[[#This Row],[CLAS CLASE2]],'Datos puntos'!$A$25:$A$53,'Datos puntos'!$B$25:$B$53)),"")</f>
        <v/>
      </c>
      <c r="U14" s="183" t="str">
        <f>IF(Tabla156121722[[#This Row],[Puntos scratch3]]="","NO PUNTÚA",SUM(Tabla156121722[[#This Row],[Puntos scratch3]],Tabla156121722[[#This Row],[Puntos clase5]])*2)</f>
        <v>NO PUNTÚA</v>
      </c>
      <c r="W14" s="241">
        <v>4</v>
      </c>
      <c r="X14" s="263" t="s">
        <v>171</v>
      </c>
    </row>
    <row r="15" spans="1:27" x14ac:dyDescent="0.35">
      <c r="A15" s="176">
        <v>10</v>
      </c>
      <c r="B15" s="176">
        <v>23</v>
      </c>
      <c r="C15" s="247" t="s">
        <v>189</v>
      </c>
      <c r="D15" s="179" t="s">
        <v>407</v>
      </c>
      <c r="E15" s="179" t="s">
        <v>432</v>
      </c>
      <c r="F15" s="179" t="s">
        <v>425</v>
      </c>
      <c r="G15" s="179" t="s">
        <v>432</v>
      </c>
      <c r="H15" s="179" t="s">
        <v>416</v>
      </c>
      <c r="I15" s="180" t="s">
        <v>24</v>
      </c>
      <c r="J15" s="180">
        <v>2</v>
      </c>
      <c r="K15" s="181"/>
      <c r="L15" s="183" t="str">
        <f>IF(AND(E15="M",Tabla156121722[[#This Row],[POS]]&lt;&gt;"AB",Tabla156121722[[#This Row],[POS]]&lt;&gt;"DSQ"),COUNTIF($E$6:E15,"M"),"")</f>
        <v/>
      </c>
      <c r="M15" s="183" t="str">
        <f>IF(E15="M",IF(Tabla156121722[[#This Row],[Tiempo]]="AB","",LOOKUP(Tabla156121722[[#This Row],[CLAS SCRATCH]],'Datos puntos'!$A$2:$A$23,'Datos puntos'!$B$2:$B$23)),"")</f>
        <v/>
      </c>
      <c r="N15" s="183" t="str">
        <f>IF(AND(E15="M",Tabla156121722[[#This Row],[POS]]&lt;&gt;"AB",Tabla156121722[[#This Row],[POS]]&lt;&gt;"DSQ"),COUNTIFS($J$6:J15,Tabla156121722[[#This Row],[Clase]],$E$6:E15,"M"),"")</f>
        <v/>
      </c>
      <c r="O15" s="183" t="str">
        <f>IF(E15="M",IF(Tabla156121722[[#This Row],[Tiempo]]="AB","",LOOKUP(Tabla156121722[[#This Row],[CLAS CLASE]],'Datos puntos'!$A$25:$A$53,'Datos puntos'!$B$25:$B$53)),"")</f>
        <v/>
      </c>
      <c r="P15" s="183" t="str">
        <f>IF(Tabla156121722[[#This Row],[Puntos scratch]]="","NO PUNTÚA",SUM(Tabla156121722[[#This Row],[Puntos scratch]],Tabla156121722[[#This Row],[Puntos clase]])*2)</f>
        <v>NO PUNTÚA</v>
      </c>
      <c r="Q15" s="183" t="str">
        <f>IF(AND(G15="M",Tabla156121722[[#This Row],[POS]]&lt;&gt;"AB",Tabla156121722[[#This Row],[POS]]&lt;&gt;"DSQ"),COUNTIF($G$6:G15,"M"),"")</f>
        <v/>
      </c>
      <c r="R15" s="183" t="str">
        <f>IF(G15="M",IF(Tabla156121722[[#This Row],[Tiempo]]="AB","",LOOKUP(Tabla156121722[[#This Row],[CLAS SCRATCH2]],'Datos puntos'!$A$2:$A$23,'Datos puntos'!$B$2:$B$23)),"")</f>
        <v/>
      </c>
      <c r="S15" s="183" t="str">
        <f>IF(AND(G15="M",Tabla156121722[[#This Row],[POS]]&lt;&gt;"AB",Tabla156121722[[#This Row],[POS]]&lt;&gt;"DSQ"),COUNTIFS($J$6:J15,Tabla156121722[[#This Row],[Clase]],$G$6:G15,"M"),"")</f>
        <v/>
      </c>
      <c r="T15" s="183" t="str">
        <f>IF(G15="M",IF(Tabla156121722[[#This Row],[Tiempo]]="AB","",LOOKUP(Tabla156121722[[#This Row],[CLAS CLASE2]],'Datos puntos'!$A$25:$A$53,'Datos puntos'!$B$25:$B$53)),"")</f>
        <v/>
      </c>
      <c r="U15" s="183" t="str">
        <f>IF(Tabla156121722[[#This Row],[Puntos scratch3]]="","NO PUNTÚA",SUM(Tabla156121722[[#This Row],[Puntos scratch3]],Tabla156121722[[#This Row],[Puntos clase5]])*2)</f>
        <v>NO PUNTÚA</v>
      </c>
      <c r="W15" s="241">
        <v>3</v>
      </c>
      <c r="X15" s="290" t="s">
        <v>232</v>
      </c>
    </row>
    <row r="16" spans="1:27" x14ac:dyDescent="0.35">
      <c r="A16" s="176">
        <v>11</v>
      </c>
      <c r="B16" s="176">
        <v>24</v>
      </c>
      <c r="C16" s="269" t="s">
        <v>403</v>
      </c>
      <c r="D16" s="179" t="s">
        <v>366</v>
      </c>
      <c r="E16" s="179" t="s">
        <v>168</v>
      </c>
      <c r="F16" s="179" t="s">
        <v>457</v>
      </c>
      <c r="G16" s="179" t="s">
        <v>432</v>
      </c>
      <c r="H16" s="179" t="s">
        <v>379</v>
      </c>
      <c r="I16" s="180" t="s">
        <v>24</v>
      </c>
      <c r="J16" s="180">
        <v>3</v>
      </c>
      <c r="K16" s="181"/>
      <c r="L16" s="183">
        <f>IF(AND(E16="M",Tabla156121722[[#This Row],[POS]]&lt;&gt;"AB",Tabla156121722[[#This Row],[POS]]&lt;&gt;"DSQ"),COUNTIF($E$6:E16,"M"),"")</f>
        <v>9</v>
      </c>
      <c r="M16" s="183">
        <f>IF(E16="M",IF(Tabla156121722[[#This Row],[Tiempo]]="AB","",LOOKUP(Tabla156121722[[#This Row],[CLAS SCRATCH]],'Datos puntos'!$A$2:$A$23,'Datos puntos'!$B$2:$B$23)),"")</f>
        <v>5</v>
      </c>
      <c r="N16" s="183">
        <f>IF(AND(E16="M",Tabla156121722[[#This Row],[POS]]&lt;&gt;"AB",Tabla156121722[[#This Row],[POS]]&lt;&gt;"DSQ"),COUNTIFS($J$6:J16,Tabla156121722[[#This Row],[Clase]],$E$6:E16,"M"),"")</f>
        <v>4</v>
      </c>
      <c r="O16" s="183">
        <f>IF(E16="M",IF(Tabla156121722[[#This Row],[Tiempo]]="AB","",LOOKUP(Tabla156121722[[#This Row],[CLAS CLASE]],'Datos puntos'!$A$25:$A$53,'Datos puntos'!$B$25:$B$53)),"")</f>
        <v>5</v>
      </c>
      <c r="P16" s="183">
        <f>IF(Tabla156121722[[#This Row],[Puntos scratch]]="","NO PUNTÚA",SUM(Tabla156121722[[#This Row],[Puntos scratch]],Tabla156121722[[#This Row],[Puntos clase]])*2)</f>
        <v>20</v>
      </c>
      <c r="Q16" s="183" t="str">
        <f>IF(AND(G16="M",Tabla156121722[[#This Row],[POS]]&lt;&gt;"AB",Tabla156121722[[#This Row],[POS]]&lt;&gt;"DSQ"),COUNTIF($G$6:G16,"M"),"")</f>
        <v/>
      </c>
      <c r="R16" s="183" t="str">
        <f>IF(G16="M",IF(Tabla156121722[[#This Row],[Tiempo]]="AB","",LOOKUP(Tabla156121722[[#This Row],[CLAS SCRATCH2]],'Datos puntos'!$A$2:$A$23,'Datos puntos'!$B$2:$B$23)),"")</f>
        <v/>
      </c>
      <c r="S16" s="183" t="str">
        <f>IF(AND(G16="M",Tabla156121722[[#This Row],[POS]]&lt;&gt;"AB",Tabla156121722[[#This Row],[POS]]&lt;&gt;"DSQ"),COUNTIFS($J$6:J16,Tabla156121722[[#This Row],[Clase]],$G$6:G16,"M"),"")</f>
        <v/>
      </c>
      <c r="T16" s="183" t="str">
        <f>IF(G16="M",IF(Tabla156121722[[#This Row],[Tiempo]]="AB","",LOOKUP(Tabla156121722[[#This Row],[CLAS CLASE2]],'Datos puntos'!$A$25:$A$53,'Datos puntos'!$B$25:$B$53)),"")</f>
        <v/>
      </c>
      <c r="U16" s="183" t="str">
        <f>IF(Tabla156121722[[#This Row],[Puntos scratch3]]="","NO PUNTÚA",SUM(Tabla156121722[[#This Row],[Puntos scratch3]],Tabla156121722[[#This Row],[Puntos clase5]])*2)</f>
        <v>NO PUNTÚA</v>
      </c>
      <c r="W16" s="241">
        <v>2</v>
      </c>
      <c r="X16" s="299" t="s">
        <v>330</v>
      </c>
    </row>
    <row r="17" spans="1:24" x14ac:dyDescent="0.35">
      <c r="A17" s="176">
        <v>12</v>
      </c>
      <c r="B17" s="176">
        <v>12</v>
      </c>
      <c r="C17" s="268" t="s">
        <v>401</v>
      </c>
      <c r="D17" s="179" t="s">
        <v>241</v>
      </c>
      <c r="E17" s="179" t="s">
        <v>168</v>
      </c>
      <c r="F17" s="179" t="s">
        <v>296</v>
      </c>
      <c r="G17" s="179" t="s">
        <v>168</v>
      </c>
      <c r="H17" s="179" t="s">
        <v>357</v>
      </c>
      <c r="I17" s="180" t="s">
        <v>24</v>
      </c>
      <c r="J17" s="180">
        <v>5</v>
      </c>
      <c r="K17" s="181"/>
      <c r="L17" s="183">
        <f>IF(AND(E17="M",Tabla156121722[[#This Row],[POS]]&lt;&gt;"AB",Tabla156121722[[#This Row],[POS]]&lt;&gt;"DSQ"),COUNTIF($E$6:E17,"M"),"")</f>
        <v>10</v>
      </c>
      <c r="M17" s="183">
        <f>IF(E17="M",IF(Tabla156121722[[#This Row],[Tiempo]]="AB","",LOOKUP(Tabla156121722[[#This Row],[CLAS SCRATCH]],'Datos puntos'!$A$2:$A$23,'Datos puntos'!$B$2:$B$23)),"")</f>
        <v>4</v>
      </c>
      <c r="N17" s="183">
        <f>IF(AND(E17="M",Tabla156121722[[#This Row],[POS]]&lt;&gt;"AB",Tabla156121722[[#This Row],[POS]]&lt;&gt;"DSQ"),COUNTIFS($J$6:J17,Tabla156121722[[#This Row],[Clase]],$E$6:E17,"M"),"")</f>
        <v>1</v>
      </c>
      <c r="O17" s="183">
        <f>IF(E17="M",IF(Tabla156121722[[#This Row],[Tiempo]]="AB","",LOOKUP(Tabla156121722[[#This Row],[CLAS CLASE]],'Datos puntos'!$A$25:$A$53,'Datos puntos'!$B$25:$B$53)),"")</f>
        <v>10</v>
      </c>
      <c r="P17" s="183">
        <f>IF(Tabla156121722[[#This Row],[Puntos scratch]]="","NO PUNTÚA",SUM(Tabla156121722[[#This Row],[Puntos scratch]],Tabla156121722[[#This Row],[Puntos clase]])*2)</f>
        <v>28</v>
      </c>
      <c r="Q17" s="183">
        <f>IF(AND(G17="M",Tabla156121722[[#This Row],[POS]]&lt;&gt;"AB",Tabla156121722[[#This Row],[POS]]&lt;&gt;"DSQ"),COUNTIF($G$6:G17,"M"),"")</f>
        <v>6</v>
      </c>
      <c r="R17" s="183">
        <f>IF(G17="M",IF(Tabla156121722[[#This Row],[Tiempo]]="AB","",LOOKUP(Tabla156121722[[#This Row],[CLAS SCRATCH2]],'Datos puntos'!$A$2:$A$23,'Datos puntos'!$B$2:$B$23)),"")</f>
        <v>10</v>
      </c>
      <c r="S17" s="183">
        <f>IF(AND(G17="M",Tabla156121722[[#This Row],[POS]]&lt;&gt;"AB",Tabla156121722[[#This Row],[POS]]&lt;&gt;"DSQ"),COUNTIFS($J$6:J17,Tabla156121722[[#This Row],[Clase]],$G$6:G17,"M"),"")</f>
        <v>1</v>
      </c>
      <c r="T17" s="183">
        <f>IF(G17="M",IF(Tabla156121722[[#This Row],[Tiempo]]="AB","",LOOKUP(Tabla156121722[[#This Row],[CLAS CLASE2]],'Datos puntos'!$A$25:$A$53,'Datos puntos'!$B$25:$B$53)),"")</f>
        <v>10</v>
      </c>
      <c r="U17" s="183">
        <f>IF(Tabla156121722[[#This Row],[Puntos scratch3]]="","NO PUNTÚA",SUM(Tabla156121722[[#This Row],[Puntos scratch3]],Tabla156121722[[#This Row],[Puntos clase5]])*2)</f>
        <v>40</v>
      </c>
      <c r="W17" s="241">
        <v>1</v>
      </c>
      <c r="X17" s="292" t="s">
        <v>362</v>
      </c>
    </row>
    <row r="18" spans="1:24" x14ac:dyDescent="0.35">
      <c r="A18" s="176">
        <v>13</v>
      </c>
      <c r="B18" s="176">
        <v>18</v>
      </c>
      <c r="C18" s="268" t="s">
        <v>403</v>
      </c>
      <c r="D18" s="179" t="s">
        <v>242</v>
      </c>
      <c r="E18" s="179" t="s">
        <v>168</v>
      </c>
      <c r="F18" s="179" t="s">
        <v>243</v>
      </c>
      <c r="G18" s="179" t="s">
        <v>168</v>
      </c>
      <c r="H18" s="179" t="s">
        <v>314</v>
      </c>
      <c r="I18" s="180" t="s">
        <v>24</v>
      </c>
      <c r="J18" s="180">
        <v>3</v>
      </c>
      <c r="K18" s="181"/>
      <c r="L18" s="183">
        <f>IF(AND(E18="M",Tabla156121722[[#This Row],[POS]]&lt;&gt;"AB",Tabla156121722[[#This Row],[POS]]&lt;&gt;"DSQ"),COUNTIF($E$6:E18,"M"),"")</f>
        <v>11</v>
      </c>
      <c r="M18" s="183">
        <f>IF(E18="M",IF(Tabla156121722[[#This Row],[Tiempo]]="AB","",LOOKUP(Tabla156121722[[#This Row],[CLAS SCRATCH]],'Datos puntos'!$A$2:$A$23,'Datos puntos'!$B$2:$B$23)),"")</f>
        <v>3</v>
      </c>
      <c r="N18" s="183">
        <f>IF(AND(E18="M",Tabla156121722[[#This Row],[POS]]&lt;&gt;"AB",Tabla156121722[[#This Row],[POS]]&lt;&gt;"DSQ"),COUNTIFS($J$6:J18,Tabla156121722[[#This Row],[Clase]],$E$6:E18,"M"),"")</f>
        <v>5</v>
      </c>
      <c r="O18" s="183">
        <f>IF(E18="M",IF(Tabla156121722[[#This Row],[Tiempo]]="AB","",LOOKUP(Tabla156121722[[#This Row],[CLAS CLASE]],'Datos puntos'!$A$25:$A$53,'Datos puntos'!$B$25:$B$53)),"")</f>
        <v>3</v>
      </c>
      <c r="P18" s="183">
        <f>IF(Tabla156121722[[#This Row],[Puntos scratch]]="","NO PUNTÚA",SUM(Tabla156121722[[#This Row],[Puntos scratch]],Tabla156121722[[#This Row],[Puntos clase]])*2)</f>
        <v>12</v>
      </c>
      <c r="Q18" s="183">
        <f>IF(AND(G18="M",Tabla156121722[[#This Row],[POS]]&lt;&gt;"AB",Tabla156121722[[#This Row],[POS]]&lt;&gt;"DSQ"),COUNTIF($G$6:G18,"M"),"")</f>
        <v>7</v>
      </c>
      <c r="R18" s="183">
        <f>IF(G18="M",IF(Tabla156121722[[#This Row],[Tiempo]]="AB","",LOOKUP(Tabla156121722[[#This Row],[CLAS SCRATCH2]],'Datos puntos'!$A$2:$A$23,'Datos puntos'!$B$2:$B$23)),"")</f>
        <v>8</v>
      </c>
      <c r="S18" s="183">
        <f>IF(AND(G18="M",Tabla156121722[[#This Row],[POS]]&lt;&gt;"AB",Tabla156121722[[#This Row],[POS]]&lt;&gt;"DSQ"),COUNTIFS($J$6:J18,Tabla156121722[[#This Row],[Clase]],$G$6:G18,"M"),"")</f>
        <v>2</v>
      </c>
      <c r="T18" s="183">
        <f>IF(G18="M",IF(Tabla156121722[[#This Row],[Tiempo]]="AB","",LOOKUP(Tabla156121722[[#This Row],[CLAS CLASE2]],'Datos puntos'!$A$25:$A$53,'Datos puntos'!$B$25:$B$53)),"")</f>
        <v>8</v>
      </c>
      <c r="U18" s="183">
        <f>IF(Tabla156121722[[#This Row],[Puntos scratch3]]="","NO PUNTÚA",SUM(Tabla156121722[[#This Row],[Puntos scratch3]],Tabla156121722[[#This Row],[Puntos clase5]])*2)</f>
        <v>32</v>
      </c>
      <c r="W18" s="241">
        <v>0</v>
      </c>
      <c r="X18" s="300" t="s">
        <v>404</v>
      </c>
    </row>
    <row r="19" spans="1:24" x14ac:dyDescent="0.35">
      <c r="A19" s="176">
        <v>14</v>
      </c>
      <c r="B19" s="176">
        <v>27</v>
      </c>
      <c r="C19" s="268" t="s">
        <v>232</v>
      </c>
      <c r="D19" s="179" t="s">
        <v>283</v>
      </c>
      <c r="E19" s="179" t="s">
        <v>168</v>
      </c>
      <c r="F19" s="179" t="s">
        <v>244</v>
      </c>
      <c r="G19" s="179" t="s">
        <v>168</v>
      </c>
      <c r="H19" s="179" t="s">
        <v>176</v>
      </c>
      <c r="I19" s="180" t="s">
        <v>24</v>
      </c>
      <c r="J19" s="180">
        <v>4</v>
      </c>
      <c r="K19" s="181"/>
      <c r="L19" s="183">
        <f>IF(AND(E19="M",Tabla156121722[[#This Row],[POS]]&lt;&gt;"AB",Tabla156121722[[#This Row],[POS]]&lt;&gt;"DSQ"),COUNTIF($E$6:E19,"M"),"")</f>
        <v>12</v>
      </c>
      <c r="M19" s="183">
        <f>IF(E19="M",IF(Tabla156121722[[#This Row],[Tiempo]]="AB","",LOOKUP(Tabla156121722[[#This Row],[CLAS SCRATCH]],'Datos puntos'!$A$2:$A$23,'Datos puntos'!$B$2:$B$23)),"")</f>
        <v>2</v>
      </c>
      <c r="N19" s="183">
        <f>IF(AND(E19="M",Tabla156121722[[#This Row],[POS]]&lt;&gt;"AB",Tabla156121722[[#This Row],[POS]]&lt;&gt;"DSQ"),COUNTIFS($J$6:J19,Tabla156121722[[#This Row],[Clase]],$E$6:E19,"M"),"")</f>
        <v>1</v>
      </c>
      <c r="O19" s="183">
        <f>IF(E19="M",IF(Tabla156121722[[#This Row],[Tiempo]]="AB","",LOOKUP(Tabla156121722[[#This Row],[CLAS CLASE]],'Datos puntos'!$A$25:$A$53,'Datos puntos'!$B$25:$B$53)),"")</f>
        <v>10</v>
      </c>
      <c r="P19" s="183">
        <f>IF(Tabla156121722[[#This Row],[Puntos scratch]]="","NO PUNTÚA",SUM(Tabla156121722[[#This Row],[Puntos scratch]],Tabla156121722[[#This Row],[Puntos clase]])*2)</f>
        <v>24</v>
      </c>
      <c r="Q19" s="183">
        <f>IF(AND(G19="M",Tabla156121722[[#This Row],[POS]]&lt;&gt;"AB",Tabla156121722[[#This Row],[POS]]&lt;&gt;"DSQ"),COUNTIF($G$6:G19,"M"),"")</f>
        <v>8</v>
      </c>
      <c r="R19" s="183">
        <f>IF(G19="M",IF(Tabla156121722[[#This Row],[Tiempo]]="AB","",LOOKUP(Tabla156121722[[#This Row],[CLAS SCRATCH2]],'Datos puntos'!$A$2:$A$23,'Datos puntos'!$B$2:$B$23)),"")</f>
        <v>6</v>
      </c>
      <c r="S19" s="183">
        <f>IF(AND(G19="M",Tabla156121722[[#This Row],[POS]]&lt;&gt;"AB",Tabla156121722[[#This Row],[POS]]&lt;&gt;"DSQ"),COUNTIFS($J$6:J19,Tabla156121722[[#This Row],[Clase]],$G$6:G19,"M"),"")</f>
        <v>1</v>
      </c>
      <c r="T19" s="183">
        <f>IF(G19="M",IF(Tabla156121722[[#This Row],[Tiempo]]="AB","",LOOKUP(Tabla156121722[[#This Row],[CLAS CLASE2]],'Datos puntos'!$A$25:$A$53,'Datos puntos'!$B$25:$B$53)),"")</f>
        <v>10</v>
      </c>
      <c r="U19" s="183">
        <f>IF(Tabla156121722[[#This Row],[Puntos scratch3]]="","NO PUNTÚA",SUM(Tabla156121722[[#This Row],[Puntos scratch3]],Tabla156121722[[#This Row],[Puntos clase5]])*2)</f>
        <v>32</v>
      </c>
      <c r="X19" s="172" t="s">
        <v>464</v>
      </c>
    </row>
    <row r="20" spans="1:24" x14ac:dyDescent="0.35">
      <c r="A20" s="176">
        <v>15</v>
      </c>
      <c r="B20" s="176">
        <v>26</v>
      </c>
      <c r="C20" s="294" t="s">
        <v>448</v>
      </c>
      <c r="D20" s="179" t="s">
        <v>370</v>
      </c>
      <c r="E20" s="179" t="s">
        <v>168</v>
      </c>
      <c r="F20" s="179" t="s">
        <v>250</v>
      </c>
      <c r="G20" s="179" t="s">
        <v>168</v>
      </c>
      <c r="H20" s="179" t="s">
        <v>247</v>
      </c>
      <c r="I20" s="180" t="s">
        <v>24</v>
      </c>
      <c r="J20" s="180">
        <v>5</v>
      </c>
      <c r="K20" s="181"/>
      <c r="L20" s="183">
        <f>IF(AND(E20="M",Tabla156121722[[#This Row],[POS]]&lt;&gt;"AB",Tabla156121722[[#This Row],[POS]]&lt;&gt;"DSQ"),COUNTIF($E$6:E20,"M"),"")</f>
        <v>13</v>
      </c>
      <c r="M20" s="183">
        <f>IF(E20="M",IF(Tabla156121722[[#This Row],[Tiempo]]="AB","",LOOKUP(Tabla156121722[[#This Row],[CLAS SCRATCH]],'Datos puntos'!$A$2:$A$23,'Datos puntos'!$B$2:$B$23)),"")</f>
        <v>1</v>
      </c>
      <c r="N20" s="183">
        <f>IF(AND(E20="M",Tabla156121722[[#This Row],[POS]]&lt;&gt;"AB",Tabla156121722[[#This Row],[POS]]&lt;&gt;"DSQ"),COUNTIFS($J$6:J20,Tabla156121722[[#This Row],[Clase]],$E$6:E20,"M"),"")</f>
        <v>2</v>
      </c>
      <c r="O20" s="183">
        <f>IF(E20="M",IF(Tabla156121722[[#This Row],[Tiempo]]="AB","",LOOKUP(Tabla156121722[[#This Row],[CLAS CLASE]],'Datos puntos'!$A$25:$A$53,'Datos puntos'!$B$25:$B$53)),"")</f>
        <v>8</v>
      </c>
      <c r="P20" s="183">
        <f>IF(Tabla156121722[[#This Row],[Puntos scratch]]="","NO PUNTÚA",SUM(Tabla156121722[[#This Row],[Puntos scratch]],Tabla156121722[[#This Row],[Puntos clase]])*2)</f>
        <v>18</v>
      </c>
      <c r="Q20" s="183">
        <f>IF(AND(G20="M",Tabla156121722[[#This Row],[POS]]&lt;&gt;"AB",Tabla156121722[[#This Row],[POS]]&lt;&gt;"DSQ"),COUNTIF($G$6:G20,"M"),"")</f>
        <v>9</v>
      </c>
      <c r="R20" s="183">
        <f>IF(G20="M",IF(Tabla156121722[[#This Row],[Tiempo]]="AB","",LOOKUP(Tabla156121722[[#This Row],[CLAS SCRATCH2]],'Datos puntos'!$A$2:$A$23,'Datos puntos'!$B$2:$B$23)),"")</f>
        <v>5</v>
      </c>
      <c r="S20" s="183">
        <f>IF(AND(G20="M",Tabla156121722[[#This Row],[POS]]&lt;&gt;"AB",Tabla156121722[[#This Row],[POS]]&lt;&gt;"DSQ"),COUNTIFS($J$6:J20,Tabla156121722[[#This Row],[Clase]],$G$6:G20,"M"),"")</f>
        <v>2</v>
      </c>
      <c r="T20" s="183">
        <f>IF(G20="M",IF(Tabla156121722[[#This Row],[Tiempo]]="AB","",LOOKUP(Tabla156121722[[#This Row],[CLAS CLASE2]],'Datos puntos'!$A$25:$A$53,'Datos puntos'!$B$25:$B$53)),"")</f>
        <v>8</v>
      </c>
      <c r="U20" s="183">
        <f>IF(Tabla156121722[[#This Row],[Puntos scratch3]]="","NO PUNTÚA",SUM(Tabla156121722[[#This Row],[Puntos scratch3]],Tabla156121722[[#This Row],[Puntos clase5]])*2)</f>
        <v>26</v>
      </c>
    </row>
    <row r="21" spans="1:24" x14ac:dyDescent="0.35">
      <c r="A21" s="176">
        <v>16</v>
      </c>
      <c r="B21" s="176">
        <v>21</v>
      </c>
      <c r="C21" s="249" t="s">
        <v>171</v>
      </c>
      <c r="D21" s="179" t="s">
        <v>367</v>
      </c>
      <c r="E21" s="179" t="s">
        <v>432</v>
      </c>
      <c r="F21" s="179" t="s">
        <v>424</v>
      </c>
      <c r="G21" s="179" t="s">
        <v>432</v>
      </c>
      <c r="H21" s="179" t="s">
        <v>380</v>
      </c>
      <c r="I21" s="180" t="s">
        <v>24</v>
      </c>
      <c r="J21" s="180">
        <v>5</v>
      </c>
      <c r="K21" s="181"/>
      <c r="L21" s="183" t="str">
        <f>IF(AND(E21="M",Tabla156121722[[#This Row],[POS]]&lt;&gt;"AB",Tabla156121722[[#This Row],[POS]]&lt;&gt;"DSQ"),COUNTIF($E$6:E21,"M"),"")</f>
        <v/>
      </c>
      <c r="M21" s="183" t="str">
        <f>IF(E21="M",IF(Tabla156121722[[#This Row],[Tiempo]]="AB","",LOOKUP(Tabla156121722[[#This Row],[CLAS SCRATCH]],'Datos puntos'!$A$2:$A$23,'Datos puntos'!$B$2:$B$23)),"")</f>
        <v/>
      </c>
      <c r="N21" s="183" t="str">
        <f>IF(AND(E21="M",Tabla156121722[[#This Row],[POS]]&lt;&gt;"AB",Tabla156121722[[#This Row],[POS]]&lt;&gt;"DSQ"),COUNTIFS($J$6:J21,Tabla156121722[[#This Row],[Clase]],$E$6:E21,"M"),"")</f>
        <v/>
      </c>
      <c r="O21" s="183" t="str">
        <f>IF(E21="M",IF(Tabla156121722[[#This Row],[Tiempo]]="AB","",LOOKUP(Tabla156121722[[#This Row],[CLAS CLASE]],'Datos puntos'!$A$25:$A$53,'Datos puntos'!$B$25:$B$53)),"")</f>
        <v/>
      </c>
      <c r="P21" s="183" t="str">
        <f>IF(Tabla156121722[[#This Row],[Puntos scratch]]="","NO PUNTÚA",SUM(Tabla156121722[[#This Row],[Puntos scratch]],Tabla156121722[[#This Row],[Puntos clase]])*2)</f>
        <v>NO PUNTÚA</v>
      </c>
      <c r="Q21" s="183" t="str">
        <f>IF(AND(G21="M",Tabla156121722[[#This Row],[POS]]&lt;&gt;"AB",Tabla156121722[[#This Row],[POS]]&lt;&gt;"DSQ"),COUNTIF($G$6:G21,"M"),"")</f>
        <v/>
      </c>
      <c r="R21" s="183" t="str">
        <f>IF(G21="M",IF(Tabla156121722[[#This Row],[Tiempo]]="AB","",LOOKUP(Tabla156121722[[#This Row],[CLAS SCRATCH2]],'Datos puntos'!$A$2:$A$23,'Datos puntos'!$B$2:$B$23)),"")</f>
        <v/>
      </c>
      <c r="S21" s="183" t="str">
        <f>IF(AND(G21="M",Tabla156121722[[#This Row],[POS]]&lt;&gt;"AB",Tabla156121722[[#This Row],[POS]]&lt;&gt;"DSQ"),COUNTIFS($J$6:J21,Tabla156121722[[#This Row],[Clase]],$G$6:G21,"M"),"")</f>
        <v/>
      </c>
      <c r="T21" s="183" t="str">
        <f>IF(G21="M",IF(Tabla156121722[[#This Row],[Tiempo]]="AB","",LOOKUP(Tabla156121722[[#This Row],[CLAS CLASE2]],'Datos puntos'!$A$25:$A$53,'Datos puntos'!$B$25:$B$53)),"")</f>
        <v/>
      </c>
      <c r="U21" s="183" t="str">
        <f>IF(Tabla156121722[[#This Row],[Puntos scratch3]]="","NO PUNTÚA",SUM(Tabla156121722[[#This Row],[Puntos scratch3]],Tabla156121722[[#This Row],[Puntos clase5]])*2)</f>
        <v>NO PUNTÚA</v>
      </c>
    </row>
    <row r="22" spans="1:24" x14ac:dyDescent="0.35">
      <c r="A22" s="176">
        <v>17</v>
      </c>
      <c r="B22" s="176">
        <v>25</v>
      </c>
      <c r="C22" s="268" t="s">
        <v>232</v>
      </c>
      <c r="D22" s="179" t="s">
        <v>391</v>
      </c>
      <c r="E22" s="179" t="s">
        <v>432</v>
      </c>
      <c r="F22" s="179" t="s">
        <v>426</v>
      </c>
      <c r="G22" s="179" t="s">
        <v>432</v>
      </c>
      <c r="H22" s="179" t="s">
        <v>178</v>
      </c>
      <c r="I22" s="180" t="s">
        <v>24</v>
      </c>
      <c r="J22" s="180">
        <v>5</v>
      </c>
      <c r="K22" s="181"/>
      <c r="L22" s="183" t="str">
        <f>IF(AND(E22="M",Tabla156121722[[#This Row],[POS]]&lt;&gt;"AB",Tabla156121722[[#This Row],[POS]]&lt;&gt;"DSQ"),COUNTIF($E$6:E22,"M"),"")</f>
        <v/>
      </c>
      <c r="M22" s="183" t="str">
        <f>IF(E22="M",IF(Tabla156121722[[#This Row],[Tiempo]]="AB","",LOOKUP(Tabla156121722[[#This Row],[CLAS SCRATCH]],'Datos puntos'!$A$2:$A$23,'Datos puntos'!$B$2:$B$23)),"")</f>
        <v/>
      </c>
      <c r="N22" s="183" t="str">
        <f>IF(AND(E22="M",Tabla156121722[[#This Row],[POS]]&lt;&gt;"AB",Tabla156121722[[#This Row],[POS]]&lt;&gt;"DSQ"),COUNTIFS($J$6:J22,Tabla156121722[[#This Row],[Clase]],$E$6:E22,"M"),"")</f>
        <v/>
      </c>
      <c r="O22" s="183" t="str">
        <f>IF(E22="M",IF(Tabla156121722[[#This Row],[Tiempo]]="AB","",LOOKUP(Tabla156121722[[#This Row],[CLAS CLASE]],'Datos puntos'!$A$25:$A$53,'Datos puntos'!$B$25:$B$53)),"")</f>
        <v/>
      </c>
      <c r="P22" s="183" t="str">
        <f>IF(Tabla156121722[[#This Row],[Puntos scratch]]="","NO PUNTÚA",SUM(Tabla156121722[[#This Row],[Puntos scratch]],Tabla156121722[[#This Row],[Puntos clase]])*2)</f>
        <v>NO PUNTÚA</v>
      </c>
      <c r="Q22" s="183" t="str">
        <f>IF(AND(G22="M",Tabla156121722[[#This Row],[POS]]&lt;&gt;"AB",Tabla156121722[[#This Row],[POS]]&lt;&gt;"DSQ"),COUNTIF($G$6:G22,"M"),"")</f>
        <v/>
      </c>
      <c r="R22" s="183" t="str">
        <f>IF(G22="M",IF(Tabla156121722[[#This Row],[Tiempo]]="AB","",LOOKUP(Tabla156121722[[#This Row],[CLAS SCRATCH2]],'Datos puntos'!$A$2:$A$23,'Datos puntos'!$B$2:$B$23)),"")</f>
        <v/>
      </c>
      <c r="S22" s="183" t="str">
        <f>IF(AND(G22="M",Tabla156121722[[#This Row],[POS]]&lt;&gt;"AB",Tabla156121722[[#This Row],[POS]]&lt;&gt;"DSQ"),COUNTIFS($J$6:J22,Tabla156121722[[#This Row],[Clase]],$G$6:G22,"M"),"")</f>
        <v/>
      </c>
      <c r="T22" s="183" t="str">
        <f>IF(G22="M",IF(Tabla156121722[[#This Row],[Tiempo]]="AB","",LOOKUP(Tabla156121722[[#This Row],[CLAS CLASE2]],'Datos puntos'!$A$25:$A$53,'Datos puntos'!$B$25:$B$53)),"")</f>
        <v/>
      </c>
      <c r="U22" s="183" t="str">
        <f>IF(Tabla156121722[[#This Row],[Puntos scratch3]]="","NO PUNTÚA",SUM(Tabla156121722[[#This Row],[Puntos scratch3]],Tabla156121722[[#This Row],[Puntos clase5]])*2)</f>
        <v>NO PUNTÚA</v>
      </c>
    </row>
    <row r="23" spans="1:24" x14ac:dyDescent="0.35">
      <c r="A23" s="176">
        <v>18</v>
      </c>
      <c r="B23" s="176">
        <v>28</v>
      </c>
      <c r="C23" s="295" t="s">
        <v>330</v>
      </c>
      <c r="D23" s="179" t="s">
        <v>332</v>
      </c>
      <c r="E23" s="179" t="s">
        <v>432</v>
      </c>
      <c r="F23" s="179" t="s">
        <v>282</v>
      </c>
      <c r="G23" s="179" t="s">
        <v>168</v>
      </c>
      <c r="H23" s="179" t="s">
        <v>176</v>
      </c>
      <c r="I23" s="180" t="s">
        <v>24</v>
      </c>
      <c r="J23" s="180">
        <v>4</v>
      </c>
      <c r="K23" s="181"/>
      <c r="L23" s="183" t="str">
        <f>IF(AND(E23="M",Tabla156121722[[#This Row],[POS]]&lt;&gt;"AB",Tabla156121722[[#This Row],[POS]]&lt;&gt;"DSQ"),COUNTIF($E$6:E23,"M"),"")</f>
        <v/>
      </c>
      <c r="M23" s="183" t="str">
        <f>IF(E23="M",IF(Tabla156121722[[#This Row],[Tiempo]]="AB","",LOOKUP(Tabla156121722[[#This Row],[CLAS SCRATCH]],'Datos puntos'!$A$2:$A$23,'Datos puntos'!$B$2:$B$23)),"")</f>
        <v/>
      </c>
      <c r="N23" s="183" t="str">
        <f>IF(AND(E23="M",Tabla156121722[[#This Row],[POS]]&lt;&gt;"AB",Tabla156121722[[#This Row],[POS]]&lt;&gt;"DSQ"),COUNTIFS($J$6:J23,Tabla156121722[[#This Row],[Clase]],$E$6:E23,"M"),"")</f>
        <v/>
      </c>
      <c r="O23" s="183" t="str">
        <f>IF(E23="M",IF(Tabla156121722[[#This Row],[Tiempo]]="AB","",LOOKUP(Tabla156121722[[#This Row],[CLAS CLASE]],'Datos puntos'!$A$25:$A$53,'Datos puntos'!$B$25:$B$53)),"")</f>
        <v/>
      </c>
      <c r="P23" s="183" t="str">
        <f>IF(Tabla156121722[[#This Row],[Puntos scratch]]="","NO PUNTÚA",SUM(Tabla156121722[[#This Row],[Puntos scratch]],Tabla156121722[[#This Row],[Puntos clase]])*2)</f>
        <v>NO PUNTÚA</v>
      </c>
      <c r="Q23" s="183">
        <f>IF(AND(G23="M",Tabla156121722[[#This Row],[POS]]&lt;&gt;"AB",Tabla156121722[[#This Row],[POS]]&lt;&gt;"DSQ"),COUNTIF($G$6:G23,"M"),"")</f>
        <v>10</v>
      </c>
      <c r="R23" s="183">
        <f>IF(G23="M",IF(Tabla156121722[[#This Row],[Tiempo]]="AB","",LOOKUP(Tabla156121722[[#This Row],[CLAS SCRATCH2]],'Datos puntos'!$A$2:$A$23,'Datos puntos'!$B$2:$B$23)),"")</f>
        <v>4</v>
      </c>
      <c r="S23" s="183">
        <f>IF(AND(G23="M",Tabla156121722[[#This Row],[POS]]&lt;&gt;"AB",Tabla156121722[[#This Row],[POS]]&lt;&gt;"DSQ"),COUNTIFS($J$6:J23,Tabla156121722[[#This Row],[Clase]],$G$6:G23,"M"),"")</f>
        <v>2</v>
      </c>
      <c r="T23" s="183">
        <f>IF(G23="M",IF(Tabla156121722[[#This Row],[Tiempo]]="AB","",LOOKUP(Tabla156121722[[#This Row],[CLAS CLASE2]],'Datos puntos'!$A$25:$A$53,'Datos puntos'!$B$25:$B$53)),"")</f>
        <v>8</v>
      </c>
      <c r="U23" s="183">
        <f>IF(Tabla156121722[[#This Row],[Puntos scratch3]]="","NO PUNTÚA",SUM(Tabla156121722[[#This Row],[Puntos scratch3]],Tabla156121722[[#This Row],[Puntos clase5]])*2)</f>
        <v>24</v>
      </c>
    </row>
    <row r="24" spans="1:24" x14ac:dyDescent="0.35">
      <c r="A24" s="176">
        <v>19</v>
      </c>
      <c r="B24" s="176">
        <v>31</v>
      </c>
      <c r="C24" s="292" t="s">
        <v>362</v>
      </c>
      <c r="D24" s="179" t="s">
        <v>275</v>
      </c>
      <c r="E24" s="179" t="s">
        <v>168</v>
      </c>
      <c r="F24" s="179" t="s">
        <v>276</v>
      </c>
      <c r="G24" s="179" t="s">
        <v>168</v>
      </c>
      <c r="H24" s="179" t="s">
        <v>178</v>
      </c>
      <c r="I24" s="180" t="s">
        <v>24</v>
      </c>
      <c r="J24" s="180">
        <v>5</v>
      </c>
      <c r="K24" s="181"/>
      <c r="L24" s="183">
        <f>IF(AND(E24="M",Tabla156121722[[#This Row],[POS]]&lt;&gt;"AB",Tabla156121722[[#This Row],[POS]]&lt;&gt;"DSQ"),COUNTIF($E$6:E24,"M"),"")</f>
        <v>14</v>
      </c>
      <c r="M24" s="183">
        <f>IF(E24="M",IF(Tabla156121722[[#This Row],[Tiempo]]="AB","",LOOKUP(Tabla156121722[[#This Row],[CLAS SCRATCH]],'Datos puntos'!$A$2:$A$23,'Datos puntos'!$B$2:$B$23)),"")</f>
        <v>0</v>
      </c>
      <c r="N24" s="183">
        <f>IF(AND(E24="M",Tabla156121722[[#This Row],[POS]]&lt;&gt;"AB",Tabla156121722[[#This Row],[POS]]&lt;&gt;"DSQ"),COUNTIFS($J$6:J24,Tabla156121722[[#This Row],[Clase]],$E$6:E24,"M"),"")</f>
        <v>3</v>
      </c>
      <c r="O24" s="183">
        <f>IF(E24="M",IF(Tabla156121722[[#This Row],[Tiempo]]="AB","",LOOKUP(Tabla156121722[[#This Row],[CLAS CLASE]],'Datos puntos'!$A$25:$A$53,'Datos puntos'!$B$25:$B$53)),"")</f>
        <v>6</v>
      </c>
      <c r="P24" s="183">
        <f>IF(Tabla156121722[[#This Row],[Puntos scratch]]="","NO PUNTÚA",SUM(Tabla156121722[[#This Row],[Puntos scratch]],Tabla156121722[[#This Row],[Puntos clase]])*2)</f>
        <v>12</v>
      </c>
      <c r="Q24" s="183">
        <f>IF(AND(G24="M",Tabla156121722[[#This Row],[POS]]&lt;&gt;"AB",Tabla156121722[[#This Row],[POS]]&lt;&gt;"DSQ"),COUNTIF($G$6:G24,"M"),"")</f>
        <v>11</v>
      </c>
      <c r="R24" s="183">
        <f>IF(G24="M",IF(Tabla156121722[[#This Row],[Tiempo]]="AB","",LOOKUP(Tabla156121722[[#This Row],[CLAS SCRATCH2]],'Datos puntos'!$A$2:$A$23,'Datos puntos'!$B$2:$B$23)),"")</f>
        <v>3</v>
      </c>
      <c r="S24" s="183">
        <f>IF(AND(G24="M",Tabla156121722[[#This Row],[POS]]&lt;&gt;"AB",Tabla156121722[[#This Row],[POS]]&lt;&gt;"DSQ"),COUNTIFS($J$6:J24,Tabla156121722[[#This Row],[Clase]],$G$6:G24,"M"),"")</f>
        <v>3</v>
      </c>
      <c r="T24" s="183">
        <f>IF(G24="M",IF(Tabla156121722[[#This Row],[Tiempo]]="AB","",LOOKUP(Tabla156121722[[#This Row],[CLAS CLASE2]],'Datos puntos'!$A$25:$A$53,'Datos puntos'!$B$25:$B$53)),"")</f>
        <v>6</v>
      </c>
      <c r="U24" s="183">
        <f>IF(Tabla156121722[[#This Row],[Puntos scratch3]]="","NO PUNTÚA",SUM(Tabla156121722[[#This Row],[Puntos scratch3]],Tabla156121722[[#This Row],[Puntos clase5]])*2)</f>
        <v>18</v>
      </c>
    </row>
    <row r="25" spans="1:24" x14ac:dyDescent="0.35">
      <c r="A25" s="176">
        <v>20</v>
      </c>
      <c r="B25" s="176">
        <v>29</v>
      </c>
      <c r="C25" s="276" t="s">
        <v>444</v>
      </c>
      <c r="D25" s="179" t="s">
        <v>451</v>
      </c>
      <c r="E25" s="179" t="s">
        <v>432</v>
      </c>
      <c r="F25" s="179" t="s">
        <v>385</v>
      </c>
      <c r="G25" s="179" t="s">
        <v>173</v>
      </c>
      <c r="H25" s="179" t="s">
        <v>176</v>
      </c>
      <c r="I25" s="180" t="s">
        <v>24</v>
      </c>
      <c r="J25" s="180">
        <v>4</v>
      </c>
      <c r="K25" s="181"/>
      <c r="L25" s="183" t="str">
        <f>IF(AND(E25="M",Tabla156121722[[#This Row],[POS]]&lt;&gt;"AB",Tabla156121722[[#This Row],[POS]]&lt;&gt;"DSQ"),COUNTIF($E$6:E25,"M"),"")</f>
        <v/>
      </c>
      <c r="M25" s="183" t="str">
        <f>IF(E25="M",IF(Tabla156121722[[#This Row],[Tiempo]]="AB","",LOOKUP(Tabla156121722[[#This Row],[CLAS SCRATCH]],'Datos puntos'!$A$2:$A$23,'Datos puntos'!$B$2:$B$23)),"")</f>
        <v/>
      </c>
      <c r="N25" s="183" t="str">
        <f>IF(AND(E25="M",Tabla156121722[[#This Row],[POS]]&lt;&gt;"AB",Tabla156121722[[#This Row],[POS]]&lt;&gt;"DSQ"),COUNTIFS($J$6:J25,Tabla156121722[[#This Row],[Clase]],$E$6:E25,"M"),"")</f>
        <v/>
      </c>
      <c r="O25" s="183" t="str">
        <f>IF(E25="M",IF(Tabla156121722[[#This Row],[Tiempo]]="AB","",LOOKUP(Tabla156121722[[#This Row],[CLAS CLASE]],'Datos puntos'!$A$25:$A$53,'Datos puntos'!$B$25:$B$53)),"")</f>
        <v/>
      </c>
      <c r="P25" s="183" t="str">
        <f>IF(Tabla156121722[[#This Row],[Puntos scratch]]="","NO PUNTÚA",SUM(Tabla156121722[[#This Row],[Puntos scratch]],Tabla156121722[[#This Row],[Puntos clase]])*2)</f>
        <v>NO PUNTÚA</v>
      </c>
      <c r="Q25" s="183" t="str">
        <f>IF(AND(G25="M",Tabla156121722[[#This Row],[POS]]&lt;&gt;"AB",Tabla156121722[[#This Row],[POS]]&lt;&gt;"DSQ"),COUNTIF($G$6:G25,"M"),"")</f>
        <v/>
      </c>
      <c r="R25" s="183" t="str">
        <f>IF(G25="M",IF(Tabla156121722[[#This Row],[Tiempo]]="AB","",LOOKUP(Tabla156121722[[#This Row],[CLAS SCRATCH2]],'Datos puntos'!$A$2:$A$23,'Datos puntos'!$B$2:$B$23)),"")</f>
        <v/>
      </c>
      <c r="S25" s="183" t="str">
        <f>IF(AND(G25="M",Tabla156121722[[#This Row],[POS]]&lt;&gt;"AB",Tabla156121722[[#This Row],[POS]]&lt;&gt;"DSQ"),COUNTIFS($J$6:J25,Tabla156121722[[#This Row],[Clase]],$G$6:G25,"M"),"")</f>
        <v/>
      </c>
      <c r="T25" s="183" t="str">
        <f>IF(G25="M",IF(Tabla156121722[[#This Row],[Tiempo]]="AB","",LOOKUP(Tabla156121722[[#This Row],[CLAS CLASE2]],'Datos puntos'!$A$25:$A$53,'Datos puntos'!$B$25:$B$53)),"")</f>
        <v/>
      </c>
      <c r="U25" s="183" t="str">
        <f>IF(Tabla156121722[[#This Row],[Puntos scratch3]]="","NO PUNTÚA",SUM(Tabla156121722[[#This Row],[Puntos scratch3]],Tabla156121722[[#This Row],[Puntos clase5]])*2)</f>
        <v>NO PUNTÚA</v>
      </c>
    </row>
    <row r="26" spans="1:24" x14ac:dyDescent="0.35">
      <c r="A26" s="176">
        <v>21</v>
      </c>
      <c r="B26" s="176">
        <v>19</v>
      </c>
      <c r="C26" s="296" t="s">
        <v>362</v>
      </c>
      <c r="D26" s="179" t="s">
        <v>312</v>
      </c>
      <c r="E26" s="179" t="s">
        <v>168</v>
      </c>
      <c r="F26" s="179" t="s">
        <v>313</v>
      </c>
      <c r="G26" s="179" t="s">
        <v>168</v>
      </c>
      <c r="H26" s="179" t="s">
        <v>314</v>
      </c>
      <c r="I26" s="180" t="s">
        <v>24</v>
      </c>
      <c r="J26" s="180">
        <v>3</v>
      </c>
      <c r="K26" s="181"/>
      <c r="L26" s="183">
        <f>IF(AND(E26="M",Tabla156121722[[#This Row],[POS]]&lt;&gt;"AB",Tabla156121722[[#This Row],[POS]]&lt;&gt;"DSQ"),COUNTIF($E$6:E26,"M"),"")</f>
        <v>15</v>
      </c>
      <c r="M26" s="183">
        <f>IF(E26="M",IF(Tabla156121722[[#This Row],[Tiempo]]="AB","",LOOKUP(Tabla156121722[[#This Row],[CLAS SCRATCH]],'Datos puntos'!$A$2:$A$23,'Datos puntos'!$B$2:$B$23)),"")</f>
        <v>0</v>
      </c>
      <c r="N26" s="183">
        <f>IF(AND(E26="M",Tabla156121722[[#This Row],[POS]]&lt;&gt;"AB",Tabla156121722[[#This Row],[POS]]&lt;&gt;"DSQ"),COUNTIFS($J$6:J26,Tabla156121722[[#This Row],[Clase]],$E$6:E26,"M"),"")</f>
        <v>6</v>
      </c>
      <c r="O26" s="183">
        <f>IF(E26="M",IF(Tabla156121722[[#This Row],[Tiempo]]="AB","",LOOKUP(Tabla156121722[[#This Row],[CLAS CLASE]],'Datos puntos'!$A$25:$A$53,'Datos puntos'!$B$25:$B$53)),"")</f>
        <v>1</v>
      </c>
      <c r="P26" s="183">
        <f>IF(Tabla156121722[[#This Row],[Puntos scratch]]="","NO PUNTÚA",SUM(Tabla156121722[[#This Row],[Puntos scratch]],Tabla156121722[[#This Row],[Puntos clase]])*2)</f>
        <v>2</v>
      </c>
      <c r="Q26" s="183">
        <f>IF(AND(G26="M",Tabla156121722[[#This Row],[POS]]&lt;&gt;"AB",Tabla156121722[[#This Row],[POS]]&lt;&gt;"DSQ"),COUNTIF($G$6:G26,"M"),"")</f>
        <v>12</v>
      </c>
      <c r="R26" s="183">
        <f>IF(G26="M",IF(Tabla156121722[[#This Row],[Tiempo]]="AB","",LOOKUP(Tabla156121722[[#This Row],[CLAS SCRATCH2]],'Datos puntos'!$A$2:$A$23,'Datos puntos'!$B$2:$B$23)),"")</f>
        <v>2</v>
      </c>
      <c r="S26" s="183">
        <f>IF(AND(G26="M",Tabla156121722[[#This Row],[POS]]&lt;&gt;"AB",Tabla156121722[[#This Row],[POS]]&lt;&gt;"DSQ"),COUNTIFS($J$6:J26,Tabla156121722[[#This Row],[Clase]],$G$6:G26,"M"),"")</f>
        <v>3</v>
      </c>
      <c r="T26" s="183">
        <f>IF(G26="M",IF(Tabla156121722[[#This Row],[Tiempo]]="AB","",LOOKUP(Tabla156121722[[#This Row],[CLAS CLASE2]],'Datos puntos'!$A$25:$A$53,'Datos puntos'!$B$25:$B$53)),"")</f>
        <v>6</v>
      </c>
      <c r="U26" s="183">
        <f>IF(Tabla156121722[[#This Row],[Puntos scratch3]]="","NO PUNTÚA",SUM(Tabla156121722[[#This Row],[Puntos scratch3]],Tabla156121722[[#This Row],[Puntos clase5]])*2)</f>
        <v>16</v>
      </c>
    </row>
    <row r="27" spans="1:24" x14ac:dyDescent="0.35">
      <c r="A27" s="176" t="s">
        <v>179</v>
      </c>
      <c r="B27" s="176">
        <v>4</v>
      </c>
      <c r="C27" s="278" t="s">
        <v>189</v>
      </c>
      <c r="D27" s="179" t="s">
        <v>238</v>
      </c>
      <c r="E27" s="179" t="s">
        <v>168</v>
      </c>
      <c r="F27" s="179" t="s">
        <v>384</v>
      </c>
      <c r="G27" s="179" t="s">
        <v>168</v>
      </c>
      <c r="H27" s="179" t="s">
        <v>382</v>
      </c>
      <c r="I27" s="180" t="s">
        <v>200</v>
      </c>
      <c r="J27" s="180">
        <v>1</v>
      </c>
      <c r="K27" s="181"/>
      <c r="L27" s="270" t="str">
        <f>IF(AND(E27="M",Tabla156121722[[#This Row],[POS]]&lt;&gt;"AB",Tabla156121722[[#This Row],[POS]]&lt;&gt;"DSQ"),COUNTIF($E$6:E28,"M"),"")</f>
        <v/>
      </c>
      <c r="M27" s="183" t="e">
        <f>IF(E27="M",IF(Tabla156121722[[#This Row],[Tiempo]]="AB","",LOOKUP(Tabla156121722[[#This Row],[CLAS SCRATCH]],'Datos puntos'!$A$2:$A$23,'Datos puntos'!$B$2:$B$23)),"")</f>
        <v>#N/A</v>
      </c>
      <c r="N27" s="270" t="str">
        <f>IF(AND(E27="M",Tabla156121722[[#This Row],[POS]]&lt;&gt;"AB",Tabla156121722[[#This Row],[POS]]&lt;&gt;"DSQ"),COUNTIFS($J$6:J28,Tabla156121722[[#This Row],[Clase]],$E$6:E28,"M"),"")</f>
        <v/>
      </c>
      <c r="O27" s="183" t="e">
        <f>IF(E27="M",IF(Tabla156121722[[#This Row],[Tiempo]]="AB","",LOOKUP(Tabla156121722[[#This Row],[CLAS CLASE]],'Datos puntos'!$A$25:$A$53,'Datos puntos'!$B$25:$B$53)),"")</f>
        <v>#N/A</v>
      </c>
      <c r="P27" s="183" t="e">
        <f>IF(Tabla156121722[[#This Row],[Puntos scratch]]="","NO PUNTÚA",SUM(Tabla156121722[[#This Row],[Puntos scratch]],Tabla156121722[[#This Row],[Puntos clase]])*2)</f>
        <v>#N/A</v>
      </c>
      <c r="Q27" s="270" t="str">
        <f>IF(AND(G27="M",Tabla156121722[[#This Row],[POS]]&lt;&gt;"AB",Tabla156121722[[#This Row],[POS]]&lt;&gt;"DSQ"),COUNTIF($G$6:G28,"M"),"")</f>
        <v/>
      </c>
      <c r="R27" s="183" t="e">
        <f>IF(G27="M",IF(Tabla156121722[[#This Row],[Tiempo]]="AB","",LOOKUP(Tabla156121722[[#This Row],[CLAS SCRATCH2]],'Datos puntos'!$A$2:$A$23,'Datos puntos'!$B$2:$B$23)),"")</f>
        <v>#N/A</v>
      </c>
      <c r="S27" s="270" t="str">
        <f>IF(AND(G27="M",Tabla156121722[[#This Row],[POS]]&lt;&gt;"AB",Tabla156121722[[#This Row],[POS]]&lt;&gt;"DSQ"),COUNTIFS($J$6:J28,Tabla156121722[[#This Row],[Clase]],$G$6:G28,"M"),"")</f>
        <v/>
      </c>
      <c r="T27" s="183" t="e">
        <f>IF(G27="M",IF(Tabla156121722[[#This Row],[Tiempo]]="AB","",LOOKUP(Tabla156121722[[#This Row],[CLAS CLASE2]],'Datos puntos'!$A$25:$A$53,'Datos puntos'!$B$25:$B$53)),"")</f>
        <v>#N/A</v>
      </c>
      <c r="U27" s="183" t="e">
        <f>IF(Tabla156121722[[#This Row],[Puntos scratch3]]="","NO PUNTÚA",SUM(Tabla156121722[[#This Row],[Puntos scratch3]],Tabla156121722[[#This Row],[Puntos clase5]])*2)</f>
        <v>#N/A</v>
      </c>
    </row>
    <row r="28" spans="1:24" x14ac:dyDescent="0.35">
      <c r="A28" s="176" t="s">
        <v>179</v>
      </c>
      <c r="B28" s="176">
        <v>22</v>
      </c>
      <c r="C28" s="297" t="s">
        <v>404</v>
      </c>
      <c r="D28" s="179" t="s">
        <v>410</v>
      </c>
      <c r="E28" s="179" t="s">
        <v>432</v>
      </c>
      <c r="F28" s="179" t="s">
        <v>428</v>
      </c>
      <c r="G28" s="179" t="s">
        <v>432</v>
      </c>
      <c r="H28" s="179" t="s">
        <v>420</v>
      </c>
      <c r="I28" s="180" t="s">
        <v>24</v>
      </c>
      <c r="J28" s="180">
        <v>3</v>
      </c>
      <c r="K28" s="181"/>
      <c r="L28" s="183" t="str">
        <f>IF(AND(E28="M",Tabla156121722[[#This Row],[POS]]&lt;&gt;"AB",Tabla156121722[[#This Row],[POS]]&lt;&gt;"DSQ"),COUNTIF($E$6:E28,"M"),"")</f>
        <v/>
      </c>
      <c r="M28" s="183" t="str">
        <f>IF(E28="M",IF(Tabla156121722[[#This Row],[Tiempo]]="AB","",LOOKUP(Tabla156121722[[#This Row],[CLAS SCRATCH]],'Datos puntos'!$A$2:$A$23,'Datos puntos'!$B$2:$B$23)),"")</f>
        <v/>
      </c>
      <c r="N28" s="183" t="str">
        <f>IF(AND(E28="M",Tabla156121722[[#This Row],[POS]]&lt;&gt;"AB",Tabla156121722[[#This Row],[POS]]&lt;&gt;"DSQ"),COUNTIFS($J$6:J28,Tabla156121722[[#This Row],[Clase]],$E$6:E28,"M"),"")</f>
        <v/>
      </c>
      <c r="O28" s="183" t="str">
        <f>IF(E28="M",IF(Tabla156121722[[#This Row],[Tiempo]]="AB","",LOOKUP(Tabla156121722[[#This Row],[CLAS CLASE]],'Datos puntos'!$A$25:$A$53,'Datos puntos'!$B$25:$B$53)),"")</f>
        <v/>
      </c>
      <c r="P28" s="183" t="str">
        <f>IF(Tabla156121722[[#This Row],[Puntos scratch]]="","NO PUNTÚA",SUM(Tabla156121722[[#This Row],[Puntos scratch]],Tabla156121722[[#This Row],[Puntos clase]])*2)</f>
        <v>NO PUNTÚA</v>
      </c>
      <c r="Q28" s="183" t="str">
        <f>IF(AND(G28="M",Tabla156121722[[#This Row],[POS]]&lt;&gt;"AB",Tabla156121722[[#This Row],[POS]]&lt;&gt;"DSQ"),COUNTIF($G$6:G28,"M"),"")</f>
        <v/>
      </c>
      <c r="R28" s="183" t="str">
        <f>IF(G28="M",IF(Tabla156121722[[#This Row],[Tiempo]]="AB","",LOOKUP(Tabla156121722[[#This Row],[CLAS SCRATCH2]],'Datos puntos'!$A$2:$A$23,'Datos puntos'!$B$2:$B$23)),"")</f>
        <v/>
      </c>
      <c r="S28" s="183" t="str">
        <f>IF(AND(G28="M",Tabla156121722[[#This Row],[POS]]&lt;&gt;"AB",Tabla156121722[[#This Row],[POS]]&lt;&gt;"DSQ"),COUNTIFS($J$6:J28,Tabla156121722[[#This Row],[Clase]],$G$6:G28,"M"),"")</f>
        <v/>
      </c>
      <c r="T28" s="183" t="str">
        <f>IF(G28="M",IF(Tabla156121722[[#This Row],[Tiempo]]="AB","",LOOKUP(Tabla156121722[[#This Row],[CLAS CLASE2]],'Datos puntos'!$A$25:$A$53,'Datos puntos'!$B$25:$B$53)),"")</f>
        <v/>
      </c>
      <c r="U28" s="183" t="str">
        <f>IF(Tabla156121722[[#This Row],[Puntos scratch3]]="","NO PUNTÚA",SUM(Tabla156121722[[#This Row],[Puntos scratch3]],Tabla156121722[[#This Row],[Puntos clase5]])*2)</f>
        <v>NO PUNTÚA</v>
      </c>
    </row>
    <row r="29" spans="1:24" x14ac:dyDescent="0.35">
      <c r="A29" s="176"/>
      <c r="B29" s="176"/>
      <c r="C29" s="179"/>
      <c r="D29" s="179"/>
      <c r="E29" s="179"/>
      <c r="F29" s="179"/>
      <c r="G29" s="179"/>
      <c r="H29" s="179"/>
      <c r="I29" s="180"/>
      <c r="J29" s="180"/>
      <c r="K29" s="181"/>
      <c r="L29" s="182"/>
      <c r="M29" s="182"/>
      <c r="N29" s="182"/>
      <c r="O29" s="183"/>
      <c r="P29" s="183"/>
      <c r="Q29" s="183"/>
      <c r="R29" s="183"/>
      <c r="S29" s="183"/>
      <c r="T29" s="183"/>
      <c r="U29" s="183"/>
    </row>
    <row r="30" spans="1:24" ht="15.5" x14ac:dyDescent="0.35">
      <c r="A30" s="174" t="s">
        <v>186</v>
      </c>
      <c r="B30" s="174"/>
      <c r="C30" s="174"/>
      <c r="D30" s="174"/>
      <c r="E30" s="174"/>
      <c r="F30" s="174"/>
      <c r="G30" s="174"/>
      <c r="H30" s="174"/>
      <c r="I30" s="174"/>
      <c r="J30" s="174"/>
      <c r="K30" s="174"/>
      <c r="L30" s="175"/>
      <c r="M30" s="175"/>
      <c r="N30" s="174" t="s">
        <v>1</v>
      </c>
      <c r="P30" s="199"/>
      <c r="Q30" s="199"/>
      <c r="R30" s="199"/>
      <c r="S30" s="202" t="s">
        <v>166</v>
      </c>
      <c r="U30" s="199"/>
    </row>
    <row r="31" spans="1:24" x14ac:dyDescent="0.35">
      <c r="A31" s="213" t="s">
        <v>190</v>
      </c>
      <c r="B31" s="186" t="s">
        <v>191</v>
      </c>
      <c r="C31" s="186" t="s">
        <v>192</v>
      </c>
      <c r="D31" s="186" t="s">
        <v>193</v>
      </c>
      <c r="E31" s="186" t="s">
        <v>194</v>
      </c>
      <c r="F31" s="186" t="s">
        <v>195</v>
      </c>
      <c r="G31" s="186" t="s">
        <v>196</v>
      </c>
      <c r="H31" s="186" t="s">
        <v>197</v>
      </c>
      <c r="I31" s="186" t="s">
        <v>198</v>
      </c>
      <c r="J31" s="186" t="s">
        <v>2</v>
      </c>
      <c r="K31" s="213" t="s">
        <v>199</v>
      </c>
      <c r="L31" s="207" t="s">
        <v>214</v>
      </c>
      <c r="M31" s="208" t="s">
        <v>217</v>
      </c>
      <c r="N31" s="208" t="s">
        <v>254</v>
      </c>
      <c r="O31" s="208" t="s">
        <v>218</v>
      </c>
      <c r="P31" s="208" t="s">
        <v>219</v>
      </c>
      <c r="Q31" s="209" t="s">
        <v>228</v>
      </c>
      <c r="R31" s="209" t="s">
        <v>229</v>
      </c>
      <c r="S31" s="209" t="s">
        <v>255</v>
      </c>
      <c r="T31" s="209" t="s">
        <v>230</v>
      </c>
      <c r="U31" s="209" t="s">
        <v>231</v>
      </c>
      <c r="V31" s="199"/>
      <c r="W31" s="199"/>
      <c r="X31" s="199"/>
    </row>
    <row r="32" spans="1:24" x14ac:dyDescent="0.35">
      <c r="A32" s="193">
        <v>1</v>
      </c>
      <c r="B32" s="193">
        <v>8</v>
      </c>
      <c r="C32" s="194" t="s">
        <v>232</v>
      </c>
      <c r="D32" s="194" t="s">
        <v>256</v>
      </c>
      <c r="E32" s="194" t="s">
        <v>168</v>
      </c>
      <c r="F32" s="194" t="s">
        <v>328</v>
      </c>
      <c r="G32" s="194" t="s">
        <v>168</v>
      </c>
      <c r="H32" s="194" t="s">
        <v>326</v>
      </c>
      <c r="I32" s="195" t="s">
        <v>186</v>
      </c>
      <c r="J32" s="195">
        <v>6</v>
      </c>
      <c r="K32" s="181"/>
      <c r="L32" s="183">
        <f>IF(AND(E32="M",Tabla329141924[[#This Row],[POS]]&lt;&gt;"AB",Tabla329141924[[#This Row],[POS]]&lt;&gt;"DSQ"),COUNTIF($E$32:E32,"M"),"")</f>
        <v>1</v>
      </c>
      <c r="M32" s="183">
        <f>IF(E32="M",IF(Tabla329141924[[#This Row],[Tiempo]]="AB","",LOOKUP(Tabla329141924[[#This Row],[CLAS SCRATCH]],'Datos puntos'!$A$2:$A$23,'Datos puntos'!$B$2:$B$23)),"")</f>
        <v>25</v>
      </c>
      <c r="N32" s="183">
        <f>Tabla329141924[[#This Row],[CLAS SCRATCH]]</f>
        <v>1</v>
      </c>
      <c r="O32" s="183">
        <f>IF(E32="M",IF(Tabla329141924[[#This Row],[Tiempo]]="AB","",LOOKUP(Tabla329141924[[#This Row],[CLAS CLASE]],'Datos puntos'!$A$25:$A$53,'Datos puntos'!$B$25:$B$53)),"")</f>
        <v>10</v>
      </c>
      <c r="P32" s="183">
        <f>IF(Tabla329141924[[#This Row],[Puntos scratch]]="","NO PUNTÚA",SUM(Tabla329141924[[#This Row],[Puntos scratch]],Tabla329141924[[#This Row],[Puntos clase]])*2)</f>
        <v>70</v>
      </c>
      <c r="Q32" s="183">
        <f>IF(AND(G32="M",Tabla329141924[[#This Row],[POS]]&lt;&gt;"AB",Tabla329141924[[#This Row],[POS]]&lt;&gt;"DSQ"),COUNTIF($G$32:G32,"M"),"")</f>
        <v>1</v>
      </c>
      <c r="R32" s="183">
        <f>IF(G32="M",IF(Tabla329141924[[#This Row],[Tiempo]]="AB","",LOOKUP(Tabla329141924[[#This Row],[CLAS SCRATCH2]],'Datos puntos'!$A$2:$A$23,'Datos puntos'!$B$2:$B$23)),"")</f>
        <v>25</v>
      </c>
      <c r="S32" s="183">
        <f>Tabla329141924[[#This Row],[CLAS SCRATCH2]]</f>
        <v>1</v>
      </c>
      <c r="T32" s="183">
        <f>IF(G32="M",IF(Tabla329141924[[#This Row],[Tiempo]]="AB","",LOOKUP(Tabla329141924[[#This Row],[CLAS CLASE2]],'Datos puntos'!$A$25:$A$53,'Datos puntos'!$B$25:$B$53)),"")</f>
        <v>10</v>
      </c>
      <c r="U32" s="183">
        <f>IF(Tabla329141924[[#This Row],[Puntos scratch3]]="","NO PUNTÚA",SUM(Tabla329141924[[#This Row],[Puntos scratch3]],Tabla329141924[[#This Row],[Puntos clase5]])*2)</f>
        <v>70</v>
      </c>
    </row>
    <row r="33" spans="1:24" x14ac:dyDescent="0.35">
      <c r="A33" s="193">
        <v>2</v>
      </c>
      <c r="B33" s="193">
        <v>10</v>
      </c>
      <c r="C33" s="194" t="s">
        <v>232</v>
      </c>
      <c r="D33" s="194" t="s">
        <v>257</v>
      </c>
      <c r="E33" s="194" t="s">
        <v>168</v>
      </c>
      <c r="F33" s="194" t="s">
        <v>436</v>
      </c>
      <c r="G33" s="194" t="s">
        <v>432</v>
      </c>
      <c r="H33" s="194" t="s">
        <v>326</v>
      </c>
      <c r="I33" s="195" t="s">
        <v>186</v>
      </c>
      <c r="J33" s="195">
        <v>6</v>
      </c>
      <c r="K33" s="187"/>
      <c r="L33" s="183">
        <f>IF(AND(E33="M",Tabla329141924[[#This Row],[POS]]&lt;&gt;"AB",Tabla329141924[[#This Row],[POS]]&lt;&gt;"DSQ"),COUNTIF($E$32:E33,"M"),"")</f>
        <v>2</v>
      </c>
      <c r="M33" s="183">
        <f>IF(E33="M",IF(Tabla329141924[[#This Row],[Tiempo]]="AB","",LOOKUP(Tabla329141924[[#This Row],[CLAS SCRATCH]],'Datos puntos'!$A$2:$A$23,'Datos puntos'!$B$2:$B$23)),"")</f>
        <v>20</v>
      </c>
      <c r="N33" s="183">
        <f>Tabla329141924[[#This Row],[CLAS SCRATCH]]</f>
        <v>2</v>
      </c>
      <c r="O33" s="183">
        <f>IF(E33="M",IF(Tabla329141924[[#This Row],[Tiempo]]="AB","",LOOKUP(Tabla329141924[[#This Row],[CLAS CLASE]],'Datos puntos'!$A$25:$A$53,'Datos puntos'!$B$25:$B$53)),"")</f>
        <v>8</v>
      </c>
      <c r="P33" s="183">
        <f>IF(Tabla329141924[[#This Row],[Puntos scratch]]="","NO PUNTÚA",SUM(Tabla329141924[[#This Row],[Puntos scratch]],Tabla329141924[[#This Row],[Puntos clase]])*2)</f>
        <v>56</v>
      </c>
      <c r="Q33" s="183" t="str">
        <f>IF(AND(G33="M",Tabla329141924[[#This Row],[POS]]&lt;&gt;"AB",Tabla329141924[[#This Row],[POS]]&lt;&gt;"DSQ"),COUNTIF($G$32:G33,"M"),"")</f>
        <v/>
      </c>
      <c r="R33" s="183" t="str">
        <f>IF(G33="M",IF(Tabla329141924[[#This Row],[Tiempo]]="AB","",LOOKUP(Tabla329141924[[#This Row],[CLAS SCRATCH2]],'Datos puntos'!$A$2:$A$23,'Datos puntos'!$B$2:$B$23)),"")</f>
        <v/>
      </c>
      <c r="S33" s="183" t="str">
        <f>Tabla329141924[[#This Row],[CLAS SCRATCH2]]</f>
        <v/>
      </c>
      <c r="T33" s="183" t="str">
        <f>IF(G33="M",IF(Tabla329141924[[#This Row],[Tiempo]]="AB","",LOOKUP(Tabla329141924[[#This Row],[CLAS CLASE2]],'Datos puntos'!$A$25:$A$53,'Datos puntos'!$B$25:$B$53)),"")</f>
        <v/>
      </c>
      <c r="U33" s="183" t="str">
        <f>IF(Tabla329141924[[#This Row],[Puntos scratch3]]="","NO PUNTÚA",SUM(Tabla329141924[[#This Row],[Puntos scratch3]],Tabla329141924[[#This Row],[Puntos clase5]])*2)</f>
        <v>NO PUNTÚA</v>
      </c>
    </row>
    <row r="34" spans="1:24" x14ac:dyDescent="0.35">
      <c r="A34" s="193">
        <v>3</v>
      </c>
      <c r="B34" s="193">
        <v>11</v>
      </c>
      <c r="C34" s="194" t="s">
        <v>232</v>
      </c>
      <c r="D34" s="194" t="s">
        <v>325</v>
      </c>
      <c r="E34" s="194" t="s">
        <v>168</v>
      </c>
      <c r="F34" s="194" t="s">
        <v>274</v>
      </c>
      <c r="G34" s="194" t="s">
        <v>168</v>
      </c>
      <c r="H34" s="194" t="s">
        <v>326</v>
      </c>
      <c r="I34" s="195" t="s">
        <v>186</v>
      </c>
      <c r="J34" s="195">
        <v>6</v>
      </c>
      <c r="K34" s="187"/>
      <c r="L34" s="183">
        <f>IF(AND(E34="M",Tabla329141924[[#This Row],[POS]]&lt;&gt;"AB",Tabla329141924[[#This Row],[POS]]&lt;&gt;"DSQ"),COUNTIF($E$32:E34,"M"),"")</f>
        <v>3</v>
      </c>
      <c r="M34" s="183">
        <f>IF(E34="M",IF(Tabla329141924[[#This Row],[Tiempo]]="AB","",LOOKUP(Tabla329141924[[#This Row],[CLAS SCRATCH]],'Datos puntos'!$A$2:$A$23,'Datos puntos'!$B$2:$B$23)),"")</f>
        <v>17</v>
      </c>
      <c r="N34" s="183">
        <f>Tabla329141924[[#This Row],[CLAS SCRATCH]]</f>
        <v>3</v>
      </c>
      <c r="O34" s="183">
        <f>IF(E34="M",IF(Tabla329141924[[#This Row],[Tiempo]]="AB","",LOOKUP(Tabla329141924[[#This Row],[CLAS CLASE]],'Datos puntos'!$A$25:$A$53,'Datos puntos'!$B$25:$B$53)),"")</f>
        <v>6</v>
      </c>
      <c r="P34" s="183">
        <f>IF(Tabla329141924[[#This Row],[Puntos scratch]]="","NO PUNTÚA",SUM(Tabla329141924[[#This Row],[Puntos scratch]],Tabla329141924[[#This Row],[Puntos clase]])*2)</f>
        <v>46</v>
      </c>
      <c r="Q34" s="183">
        <f>IF(AND(G34="M",Tabla329141924[[#This Row],[POS]]&lt;&gt;"AB",Tabla329141924[[#This Row],[POS]]&lt;&gt;"DSQ"),COUNTIF($G$32:G34,"M"),"")</f>
        <v>2</v>
      </c>
      <c r="R34" s="183">
        <f>IF(G34="M",IF(Tabla329141924[[#This Row],[Tiempo]]="AB","",LOOKUP(Tabla329141924[[#This Row],[CLAS SCRATCH2]],'Datos puntos'!$A$2:$A$23,'Datos puntos'!$B$2:$B$23)),"")</f>
        <v>20</v>
      </c>
      <c r="S34" s="183">
        <f>Tabla329141924[[#This Row],[CLAS SCRATCH2]]</f>
        <v>2</v>
      </c>
      <c r="T34" s="183">
        <f>IF(G34="M",IF(Tabla329141924[[#This Row],[Tiempo]]="AB","",LOOKUP(Tabla329141924[[#This Row],[CLAS CLASE2]],'Datos puntos'!$A$25:$A$53,'Datos puntos'!$B$25:$B$53)),"")</f>
        <v>8</v>
      </c>
      <c r="U34" s="183">
        <f>IF(Tabla329141924[[#This Row],[Puntos scratch3]]="","NO PUNTÚA",SUM(Tabla329141924[[#This Row],[Puntos scratch3]],Tabla329141924[[#This Row],[Puntos clase5]])*2)</f>
        <v>56</v>
      </c>
    </row>
    <row r="35" spans="1:24" x14ac:dyDescent="0.35">
      <c r="A35" s="193"/>
      <c r="B35" s="193"/>
      <c r="C35" s="194"/>
      <c r="D35" s="194"/>
      <c r="E35" s="194"/>
      <c r="F35" s="194"/>
      <c r="G35" s="194"/>
      <c r="H35" s="194"/>
      <c r="I35" s="195"/>
      <c r="J35" s="195"/>
      <c r="K35" s="187"/>
      <c r="L35" s="183" t="str">
        <f>IF(AND(E35="M",Tabla329141924[[#This Row],[POS]]&lt;&gt;"AB",Tabla329141924[[#This Row],[POS]]&lt;&gt;"DSQ"),COUNTIF($E$32:E35,"M"),"")</f>
        <v/>
      </c>
      <c r="M35" s="183" t="str">
        <f>IF(E35="M",IF(Tabla329141924[[#This Row],[Tiempo]]="AB","",LOOKUP(Tabla329141924[[#This Row],[CLAS SCRATCH]],'Datos puntos'!$A$2:$A$23,'Datos puntos'!$B$2:$B$23)),"")</f>
        <v/>
      </c>
      <c r="N35" s="183" t="str">
        <f>Tabla329141924[[#This Row],[CLAS SCRATCH]]</f>
        <v/>
      </c>
      <c r="O35" s="183" t="str">
        <f>IF(E35="M",IF(Tabla329141924[[#This Row],[Tiempo]]="AB","",LOOKUP(Tabla329141924[[#This Row],[CLAS CLASE]],'Datos puntos'!$A$25:$A$53,'Datos puntos'!$B$25:$B$53)),"")</f>
        <v/>
      </c>
      <c r="P35" s="183" t="str">
        <f>IF(Tabla329141924[[#This Row],[Puntos scratch]]="","NO PUNTÚA",SUM(Tabla329141924[[#This Row],[Puntos scratch]],Tabla329141924[[#This Row],[Puntos clase]])*2)</f>
        <v>NO PUNTÚA</v>
      </c>
      <c r="Q35" s="183" t="str">
        <f>IF(AND(G35="M",Tabla329141924[[#This Row],[POS]]&lt;&gt;"AB",Tabla329141924[[#This Row],[POS]]&lt;&gt;"DSQ"),COUNTIF($G$32:G35,"M"),"")</f>
        <v/>
      </c>
      <c r="R35" s="183" t="str">
        <f>IF(G35="M",IF(Tabla329141924[[#This Row],[Tiempo]]="AB","",LOOKUP(Tabla329141924[[#This Row],[CLAS SCRATCH2]],'Datos puntos'!$A$2:$A$23,'Datos puntos'!$B$2:$B$23)),"")</f>
        <v/>
      </c>
      <c r="S35" s="183" t="str">
        <f>Tabla329141924[[#This Row],[CLAS SCRATCH2]]</f>
        <v/>
      </c>
      <c r="T35" s="183" t="str">
        <f>IF(G35="M",IF(Tabla329141924[[#This Row],[Tiempo]]="AB","",LOOKUP(Tabla329141924[[#This Row],[CLAS CLASE2]],'Datos puntos'!$A$25:$A$53,'Datos puntos'!$B$25:$B$53)),"")</f>
        <v/>
      </c>
      <c r="U35" s="183" t="str">
        <f>IF(Tabla329141924[[#This Row],[Puntos scratch3]]="","NO PUNTÚA",SUM(Tabla329141924[[#This Row],[Puntos scratch3]],Tabla329141924[[#This Row],[Puntos clase5]])*2)</f>
        <v>NO PUNTÚA</v>
      </c>
    </row>
    <row r="36" spans="1:24" ht="15.5" x14ac:dyDescent="0.35">
      <c r="A36" s="203" t="s">
        <v>261</v>
      </c>
      <c r="B36" s="203"/>
      <c r="C36" s="204"/>
      <c r="D36" s="204"/>
      <c r="E36" s="204"/>
      <c r="F36" s="204"/>
      <c r="G36" s="204"/>
      <c r="H36" s="204"/>
      <c r="I36" s="204"/>
      <c r="J36" s="204"/>
      <c r="K36" s="205"/>
      <c r="L36" s="189"/>
      <c r="M36" s="189"/>
      <c r="N36" s="174" t="s">
        <v>1</v>
      </c>
      <c r="O36" s="174"/>
      <c r="P36" s="199"/>
      <c r="Q36" s="199"/>
      <c r="R36" s="199"/>
      <c r="S36" s="176" t="s">
        <v>166</v>
      </c>
      <c r="T36" s="202"/>
      <c r="U36" s="199"/>
    </row>
    <row r="37" spans="1:24" x14ac:dyDescent="0.35">
      <c r="A37" s="193" t="s">
        <v>190</v>
      </c>
      <c r="B37" s="193" t="s">
        <v>191</v>
      </c>
      <c r="C37" s="194" t="s">
        <v>192</v>
      </c>
      <c r="D37" s="194" t="s">
        <v>193</v>
      </c>
      <c r="E37" s="194" t="s">
        <v>262</v>
      </c>
      <c r="F37" s="194" t="s">
        <v>195</v>
      </c>
      <c r="G37" s="194" t="s">
        <v>263</v>
      </c>
      <c r="H37" s="194" t="s">
        <v>197</v>
      </c>
      <c r="I37" s="195" t="s">
        <v>198</v>
      </c>
      <c r="J37" s="195" t="s">
        <v>2</v>
      </c>
      <c r="K37" s="187" t="s">
        <v>199</v>
      </c>
      <c r="L37" s="210" t="s">
        <v>214</v>
      </c>
      <c r="M37" s="211" t="s">
        <v>217</v>
      </c>
      <c r="N37" s="211" t="s">
        <v>254</v>
      </c>
      <c r="O37" s="211" t="s">
        <v>218</v>
      </c>
      <c r="P37" s="211" t="s">
        <v>219</v>
      </c>
      <c r="Q37" s="212" t="s">
        <v>228</v>
      </c>
      <c r="R37" s="212" t="s">
        <v>229</v>
      </c>
      <c r="S37" s="212" t="s">
        <v>255</v>
      </c>
      <c r="T37" s="212" t="s">
        <v>230</v>
      </c>
      <c r="U37" s="212" t="s">
        <v>231</v>
      </c>
      <c r="V37" s="199"/>
      <c r="W37" s="199"/>
      <c r="X37" s="199"/>
    </row>
    <row r="38" spans="1:24" x14ac:dyDescent="0.35">
      <c r="A38" s="193">
        <v>1</v>
      </c>
      <c r="B38" s="193">
        <v>33</v>
      </c>
      <c r="C38" s="194" t="s">
        <v>437</v>
      </c>
      <c r="D38" s="194" t="s">
        <v>342</v>
      </c>
      <c r="E38" s="234" t="s">
        <v>168</v>
      </c>
      <c r="F38" s="194" t="s">
        <v>438</v>
      </c>
      <c r="G38" s="194" t="s">
        <v>173</v>
      </c>
      <c r="H38" s="194" t="s">
        <v>266</v>
      </c>
      <c r="I38" s="195" t="s">
        <v>187</v>
      </c>
      <c r="J38" s="195">
        <v>7</v>
      </c>
      <c r="K38" s="187"/>
      <c r="L38" s="182">
        <f>IF(AND(E38="M",Tabla710152025[[#This Row],[POS]]&lt;&gt;"AB",Tabla710152025[[#This Row],[POS]]&lt;&gt;"DSQ"),COUNTIF($E$38:E38,"M"),"")</f>
        <v>1</v>
      </c>
      <c r="M38" s="182">
        <f>IF(E38="M",IF(Tabla710152025[[#This Row],[Tiempo]]="AB","",LOOKUP(Tabla710152025[[#This Row],[CLAS SCRATCH]],'Datos puntos'!$A$2:$A$23,'Datos puntos'!$B$2:$B$23)),"")</f>
        <v>25</v>
      </c>
      <c r="N38" s="182">
        <f>Tabla710152025[[#This Row],[CLAS SCRATCH]]</f>
        <v>1</v>
      </c>
      <c r="O38" s="182">
        <f>IF(E38="M",IF(Tabla710152025[[#This Row],[Tiempo]]="AB","",LOOKUP(Tabla710152025[[#This Row],[CLAS CLASE]],'Datos puntos'!$A$25:$A$53,'Datos puntos'!$B$25:$B$53)),"")</f>
        <v>10</v>
      </c>
      <c r="P38" s="182">
        <f>IF(Tabla710152025[[#This Row],[Puntos scratch]]="","NO PUNTÚA",SUM(Tabla710152025[[#This Row],[Puntos scratch]],Tabla710152025[[#This Row],[Puntos clase]])*2)</f>
        <v>70</v>
      </c>
      <c r="Q38" s="182" t="str">
        <f>IF(AND(G38="M",Tabla710152025[[#This Row],[POS]]&lt;&gt;"AB",Tabla710152025[[#This Row],[POS]]&lt;&gt;"DSQ"),COUNTIF($G$38:G38,"M"),"")</f>
        <v/>
      </c>
      <c r="R38" s="182" t="str">
        <f>IF(G38="M",IF(Tabla710152025[[#This Row],[Tiempo]]="AB","",LOOKUP(Tabla710152025[[#This Row],[CLAS SCRATCH2]],'Datos puntos'!$A$2:$A$23,'Datos puntos'!$B$2:$B$23)),"")</f>
        <v/>
      </c>
      <c r="S38" s="182" t="str">
        <f>Tabla710152025[[#This Row],[CLAS SCRATCH2]]</f>
        <v/>
      </c>
      <c r="T38" s="182" t="str">
        <f>IF(G38="M",IF(Tabla710152025[[#This Row],[Tiempo]]="AB","",LOOKUP(Tabla710152025[[#This Row],[CLAS CLASE2]],'Datos puntos'!$A$25:$A$53,'Datos puntos'!$B$25:$B$53)),"")</f>
        <v/>
      </c>
      <c r="U38" s="182" t="str">
        <f>IF(Tabla710152025[[#This Row],[Puntos scratch3]]="","NO PUNTÚA",SUM(Tabla710152025[[#This Row],[Puntos scratch3]],Tabla710152025[[#This Row],[Puntos clase5]])*2)</f>
        <v>NO PUNTÚA</v>
      </c>
    </row>
    <row r="39" spans="1:24" x14ac:dyDescent="0.35">
      <c r="A39" s="193">
        <v>2</v>
      </c>
      <c r="B39" s="193">
        <v>32</v>
      </c>
      <c r="C39" s="194" t="s">
        <v>330</v>
      </c>
      <c r="D39" s="206" t="s">
        <v>331</v>
      </c>
      <c r="E39" s="267" t="s">
        <v>168</v>
      </c>
      <c r="F39" s="194" t="s">
        <v>358</v>
      </c>
      <c r="G39" s="194" t="s">
        <v>168</v>
      </c>
      <c r="H39" s="194" t="s">
        <v>329</v>
      </c>
      <c r="I39" s="195" t="s">
        <v>187</v>
      </c>
      <c r="J39" s="195">
        <v>7</v>
      </c>
      <c r="K39" s="187"/>
      <c r="L39" s="182">
        <f>IF(AND(E39="M",Tabla710152025[[#This Row],[POS]]&lt;&gt;"AB",Tabla710152025[[#This Row],[POS]]&lt;&gt;"DSQ"),COUNTIF($E$38:E39,"M"),"")</f>
        <v>2</v>
      </c>
      <c r="M39" s="182">
        <f>IF(E39="M",IF(Tabla710152025[[#This Row],[Tiempo]]="AB","",LOOKUP(Tabla710152025[[#This Row],[CLAS SCRATCH]],'Datos puntos'!$A$2:$A$23,'Datos puntos'!$B$2:$B$23)),"")</f>
        <v>20</v>
      </c>
      <c r="N39" s="182">
        <f>Tabla710152025[[#This Row],[CLAS SCRATCH]]</f>
        <v>2</v>
      </c>
      <c r="O39" s="182">
        <f>IF(E39="M",IF(Tabla710152025[[#This Row],[Tiempo]]="AB","",LOOKUP(Tabla710152025[[#This Row],[CLAS CLASE]],'Datos puntos'!$A$25:$A$53,'Datos puntos'!$B$25:$B$53)),"")</f>
        <v>8</v>
      </c>
      <c r="P39" s="182">
        <f>IF(Tabla710152025[[#This Row],[Puntos scratch]]="","NO PUNTÚA",SUM(Tabla710152025[[#This Row],[Puntos scratch]],Tabla710152025[[#This Row],[Puntos clase]])*2)</f>
        <v>56</v>
      </c>
      <c r="Q39" s="182">
        <f>IF(AND(G39="M",Tabla710152025[[#This Row],[POS]]&lt;&gt;"AB",Tabla710152025[[#This Row],[POS]]&lt;&gt;"DSQ"),COUNTIF($G$38:G39,"M"),"")</f>
        <v>1</v>
      </c>
      <c r="R39" s="182">
        <f>IF(G39="M",IF(Tabla710152025[[#This Row],[Tiempo]]="AB","",LOOKUP(Tabla710152025[[#This Row],[CLAS SCRATCH2]],'Datos puntos'!$A$2:$A$23,'Datos puntos'!$B$2:$B$23)),"")</f>
        <v>25</v>
      </c>
      <c r="S39" s="182">
        <f>Tabla710152025[[#This Row],[CLAS SCRATCH2]]</f>
        <v>1</v>
      </c>
      <c r="T39" s="182">
        <f>IF(G39="M",IF(Tabla710152025[[#This Row],[Tiempo]]="AB","",LOOKUP(Tabla710152025[[#This Row],[CLAS CLASE2]],'Datos puntos'!$A$25:$A$53,'Datos puntos'!$B$25:$B$53)),"")</f>
        <v>10</v>
      </c>
      <c r="U39" s="182">
        <f>IF(Tabla710152025[[#This Row],[Puntos scratch3]]="","NO PUNTÚA",SUM(Tabla710152025[[#This Row],[Puntos scratch3]],Tabla710152025[[#This Row],[Puntos clase5]])*2)</f>
        <v>70</v>
      </c>
    </row>
    <row r="40" spans="1:24" x14ac:dyDescent="0.35">
      <c r="A40" s="193">
        <v>3</v>
      </c>
      <c r="B40" s="193">
        <v>34</v>
      </c>
      <c r="C40" s="194" t="s">
        <v>362</v>
      </c>
      <c r="D40" s="206" t="s">
        <v>335</v>
      </c>
      <c r="E40" s="194" t="s">
        <v>168</v>
      </c>
      <c r="F40" s="194" t="s">
        <v>265</v>
      </c>
      <c r="G40" s="194" t="s">
        <v>168</v>
      </c>
      <c r="H40" s="194" t="s">
        <v>336</v>
      </c>
      <c r="I40" s="195" t="s">
        <v>187</v>
      </c>
      <c r="J40" s="195">
        <v>7</v>
      </c>
      <c r="K40" s="187"/>
      <c r="L40" s="182">
        <f>IF(AND(E40="M",Tabla710152025[[#This Row],[POS]]&lt;&gt;"AB",Tabla710152025[[#This Row],[POS]]&lt;&gt;"DSQ"),COUNTIF($E$38:E40,"M"),"")</f>
        <v>3</v>
      </c>
      <c r="M40" s="182">
        <f>IF(E40="M",IF(Tabla710152025[[#This Row],[Tiempo]]="AB","",LOOKUP(Tabla710152025[[#This Row],[CLAS SCRATCH]],'Datos puntos'!$A$2:$A$23,'Datos puntos'!$B$2:$B$23)),"")</f>
        <v>17</v>
      </c>
      <c r="N40" s="182">
        <f>Tabla710152025[[#This Row],[CLAS SCRATCH]]</f>
        <v>3</v>
      </c>
      <c r="O40" s="182">
        <f>IF(E40="M",IF(Tabla710152025[[#This Row],[Tiempo]]="AB","",LOOKUP(Tabla710152025[[#This Row],[CLAS CLASE]],'Datos puntos'!$A$25:$A$53,'Datos puntos'!$B$25:$B$53)),"")</f>
        <v>6</v>
      </c>
      <c r="P40" s="182">
        <f>IF(Tabla710152025[[#This Row],[Puntos scratch]]="","NO PUNTÚA",SUM(Tabla710152025[[#This Row],[Puntos scratch]],Tabla710152025[[#This Row],[Puntos clase]])*2)</f>
        <v>46</v>
      </c>
      <c r="Q40" s="182">
        <f>IF(AND(G40="M",Tabla710152025[[#This Row],[POS]]&lt;&gt;"AB",Tabla710152025[[#This Row],[POS]]&lt;&gt;"DSQ"),COUNTIF($G$38:G40,"M"),"")</f>
        <v>2</v>
      </c>
      <c r="R40" s="182">
        <f>IF(G40="M",IF(Tabla710152025[[#This Row],[Tiempo]]="AB","",LOOKUP(Tabla710152025[[#This Row],[CLAS SCRATCH2]],'Datos puntos'!$A$2:$A$23,'Datos puntos'!$B$2:$B$23)),"")</f>
        <v>20</v>
      </c>
      <c r="S40" s="182">
        <f>Tabla710152025[[#This Row],[CLAS SCRATCH2]]</f>
        <v>2</v>
      </c>
      <c r="T40" s="182">
        <f>IF(G40="M",IF(Tabla710152025[[#This Row],[Tiempo]]="AB","",LOOKUP(Tabla710152025[[#This Row],[CLAS CLASE2]],'Datos puntos'!$A$25:$A$53,'Datos puntos'!$B$25:$B$53)),"")</f>
        <v>8</v>
      </c>
      <c r="U40" s="182">
        <f>IF(Tabla710152025[[#This Row],[Puntos scratch3]]="","NO PUNTÚA",SUM(Tabla710152025[[#This Row],[Puntos scratch3]],Tabla710152025[[#This Row],[Puntos clase5]])*2)</f>
        <v>56</v>
      </c>
    </row>
    <row r="41" spans="1:24" x14ac:dyDescent="0.35">
      <c r="A41" s="193"/>
      <c r="B41" s="193"/>
      <c r="C41" s="194"/>
      <c r="D41" s="206"/>
      <c r="E41" s="194"/>
      <c r="F41" s="194"/>
      <c r="G41" s="194"/>
      <c r="H41" s="194"/>
      <c r="I41" s="195"/>
      <c r="J41" s="195"/>
      <c r="K41" s="187"/>
      <c r="L41" s="182"/>
      <c r="M41" s="182"/>
      <c r="N41" s="182"/>
      <c r="O41" s="182"/>
      <c r="P41" s="182"/>
      <c r="Q41" s="270"/>
      <c r="R41" s="182"/>
      <c r="S41" s="182"/>
      <c r="T41" s="182"/>
      <c r="U41" s="182"/>
    </row>
    <row r="42" spans="1:24" ht="15.5" x14ac:dyDescent="0.35">
      <c r="A42" s="174" t="s">
        <v>260</v>
      </c>
      <c r="B42" s="174"/>
      <c r="C42" s="174"/>
      <c r="D42" s="174"/>
      <c r="E42" s="174"/>
      <c r="F42" s="174"/>
      <c r="G42" s="174"/>
      <c r="H42" s="174"/>
      <c r="I42" s="174"/>
      <c r="J42" s="174"/>
      <c r="K42" s="174"/>
      <c r="L42" s="175"/>
      <c r="M42" s="175"/>
      <c r="N42" s="174" t="s">
        <v>1</v>
      </c>
      <c r="O42" s="174"/>
      <c r="P42" s="199"/>
      <c r="Q42" s="199"/>
      <c r="R42" s="199"/>
      <c r="S42" s="176" t="s">
        <v>166</v>
      </c>
      <c r="T42" s="202"/>
      <c r="U42" s="199"/>
    </row>
    <row r="43" spans="1:24" x14ac:dyDescent="0.35">
      <c r="A43" s="213" t="s">
        <v>190</v>
      </c>
      <c r="B43" s="186" t="s">
        <v>191</v>
      </c>
      <c r="C43" s="186" t="s">
        <v>192</v>
      </c>
      <c r="D43" s="186" t="s">
        <v>193</v>
      </c>
      <c r="E43" s="186" t="s">
        <v>194</v>
      </c>
      <c r="F43" s="186" t="s">
        <v>195</v>
      </c>
      <c r="G43" s="186" t="s">
        <v>196</v>
      </c>
      <c r="H43" s="186" t="s">
        <v>197</v>
      </c>
      <c r="I43" s="186" t="s">
        <v>198</v>
      </c>
      <c r="J43" s="186" t="s">
        <v>2</v>
      </c>
      <c r="K43" s="213" t="s">
        <v>199</v>
      </c>
      <c r="L43" s="214" t="s">
        <v>214</v>
      </c>
      <c r="M43" s="214" t="s">
        <v>217</v>
      </c>
      <c r="N43" s="214" t="s">
        <v>254</v>
      </c>
      <c r="O43" s="214" t="s">
        <v>218</v>
      </c>
      <c r="P43" s="214" t="s">
        <v>219</v>
      </c>
      <c r="Q43" s="215" t="s">
        <v>228</v>
      </c>
      <c r="R43" s="215" t="s">
        <v>229</v>
      </c>
      <c r="S43" s="215" t="s">
        <v>255</v>
      </c>
      <c r="T43" s="215" t="s">
        <v>230</v>
      </c>
      <c r="U43" s="215" t="s">
        <v>231</v>
      </c>
    </row>
    <row r="44" spans="1:24" x14ac:dyDescent="0.35">
      <c r="A44" s="188">
        <v>1</v>
      </c>
      <c r="B44" s="176">
        <v>37</v>
      </c>
      <c r="C44" s="179" t="s">
        <v>232</v>
      </c>
      <c r="D44" s="179" t="s">
        <v>270</v>
      </c>
      <c r="E44" s="179" t="s">
        <v>168</v>
      </c>
      <c r="F44" s="179" t="s">
        <v>321</v>
      </c>
      <c r="G44" s="179" t="s">
        <v>168</v>
      </c>
      <c r="H44" s="179" t="s">
        <v>397</v>
      </c>
      <c r="I44" s="180" t="s">
        <v>431</v>
      </c>
      <c r="J44" s="180">
        <v>8</v>
      </c>
      <c r="K44" s="187"/>
      <c r="L44" s="183">
        <f>IF(AND(E44="M",Tabla27131823[[#This Row],[POS]]&lt;&gt;"AB",Tabla27131823[[#This Row],[POS]]&lt;&gt;"DSQ"),COUNTIF($E$44:E44,"M"),"")</f>
        <v>1</v>
      </c>
      <c r="M44" s="183">
        <f>IF(E44="M",IF(Tabla27131823[[#This Row],[Tiempo]]="AB","",LOOKUP(Tabla27131823[[#This Row],[CLAS SCRATCH]],'Datos puntos'!$A$2:$A$23,'Datos puntos'!$B$2:$B$23)),"")</f>
        <v>25</v>
      </c>
      <c r="N44" s="183">
        <f>Tabla27131823[[#This Row],[CLAS SCRATCH]]</f>
        <v>1</v>
      </c>
      <c r="O44" s="183">
        <f>IF(E44="M",IF(Tabla27131823[[#This Row],[Tiempo]]="AB","",LOOKUP(Tabla27131823[[#This Row],[CLAS CLASE]],'Datos puntos'!$A$25:$A$53,'Datos puntos'!$B$25:$B$53)),"")</f>
        <v>10</v>
      </c>
      <c r="P44" s="183">
        <f>IF(Tabla27131823[[#This Row],[Puntos scratch]]="","NO PUNTÚA",SUM(Tabla27131823[[#This Row],[Puntos scratch]],Tabla27131823[[#This Row],[Puntos clase]])*2)</f>
        <v>70</v>
      </c>
      <c r="Q44" s="183">
        <f>IF(AND(G44="M",Tabla27131823[[#This Row],[POS]]&lt;&gt;"AB",Tabla27131823[[#This Row],[POS]]&lt;&gt;"DSQ"),COUNTIF($G$44:G44,"M"),"")</f>
        <v>1</v>
      </c>
      <c r="R44" s="183">
        <f>IF(G44="M",IF(Tabla27131823[[#This Row],[Tiempo]]="AB","",LOOKUP(Tabla27131823[[#This Row],[CLAS SCRATCH2]],'Datos puntos'!$A$2:$A$23,'Datos puntos'!$B$2:$B$23)),"")</f>
        <v>25</v>
      </c>
      <c r="S44" s="183">
        <f>Tabla27131823[[#This Row],[CLAS SCRATCH2]]</f>
        <v>1</v>
      </c>
      <c r="T44" s="183">
        <f>IF(G44="M",IF(Tabla27131823[[#This Row],[Tiempo]]="AB","",LOOKUP(Tabla27131823[[#This Row],[CLAS CLASE2]],'Datos puntos'!$A$25:$A$53,'Datos puntos'!$B$25:$B$53)),"")</f>
        <v>10</v>
      </c>
      <c r="U44" s="183">
        <f>IF(Tabla27131823[[#This Row],[Puntos scratch]]="","NO PUNTÚA",SUM(Tabla27131823[[#This Row],[Puntos scratch]],Tabla27131823[[#This Row],[Puntos clase]])*2)</f>
        <v>70</v>
      </c>
    </row>
    <row r="45" spans="1:24" x14ac:dyDescent="0.35">
      <c r="A45" s="193">
        <v>2</v>
      </c>
      <c r="B45" s="176">
        <v>36</v>
      </c>
      <c r="C45" s="179" t="s">
        <v>189</v>
      </c>
      <c r="D45" s="179" t="s">
        <v>267</v>
      </c>
      <c r="E45" s="179" t="s">
        <v>168</v>
      </c>
      <c r="F45" s="179" t="s">
        <v>268</v>
      </c>
      <c r="G45" s="179" t="s">
        <v>168</v>
      </c>
      <c r="H45" s="179" t="s">
        <v>440</v>
      </c>
      <c r="I45" s="180" t="s">
        <v>431</v>
      </c>
      <c r="J45" s="180">
        <v>8</v>
      </c>
      <c r="K45" s="187"/>
      <c r="L45" s="183">
        <f>IF(AND(E45="M",Tabla27131823[[#This Row],[POS]]&lt;&gt;"AB",Tabla27131823[[#This Row],[POS]]&lt;&gt;"DSQ"),COUNTIF($E$44:E45,"M"),"")</f>
        <v>2</v>
      </c>
      <c r="M45" s="183">
        <f>IF(E45="M",IF(Tabla27131823[[#This Row],[Tiempo]]="AB","",LOOKUP(Tabla27131823[[#This Row],[CLAS SCRATCH]],'Datos puntos'!$A$2:$A$23,'Datos puntos'!$B$2:$B$23)),"")</f>
        <v>20</v>
      </c>
      <c r="N45" s="183">
        <f>Tabla27131823[[#This Row],[CLAS SCRATCH]]</f>
        <v>2</v>
      </c>
      <c r="O45" s="183">
        <f>IF(E45="M",IF(Tabla27131823[[#This Row],[Tiempo]]="AB","",LOOKUP(Tabla27131823[[#This Row],[CLAS CLASE]],'Datos puntos'!$A$25:$A$53,'Datos puntos'!$B$25:$B$53)),"")</f>
        <v>8</v>
      </c>
      <c r="P45" s="183">
        <f>IF(Tabla27131823[[#This Row],[Puntos scratch]]="","NO PUNTÚA",SUM(Tabla27131823[[#This Row],[Puntos scratch]],Tabla27131823[[#This Row],[Puntos clase]])*2)</f>
        <v>56</v>
      </c>
      <c r="Q45" s="183">
        <f>IF(AND(G45="M",Tabla27131823[[#This Row],[POS]]&lt;&gt;"AB",Tabla27131823[[#This Row],[POS]]&lt;&gt;"DSQ"),COUNTIF($G$44:G45,"M"),"")</f>
        <v>2</v>
      </c>
      <c r="R45" s="183">
        <f>IF(G45="M",IF(Tabla27131823[[#This Row],[Tiempo]]="AB","",LOOKUP(Tabla27131823[[#This Row],[CLAS SCRATCH2]],'Datos puntos'!$A$2:$A$23,'Datos puntos'!$B$2:$B$23)),"")</f>
        <v>20</v>
      </c>
      <c r="S45" s="183">
        <f>Tabla27131823[[#This Row],[CLAS SCRATCH2]]</f>
        <v>2</v>
      </c>
      <c r="T45" s="183">
        <f>IF(G45="M",IF(Tabla27131823[[#This Row],[Tiempo]]="AB","",LOOKUP(Tabla27131823[[#This Row],[CLAS CLASE2]],'Datos puntos'!$A$25:$A$53,'Datos puntos'!$B$25:$B$53)),"")</f>
        <v>8</v>
      </c>
      <c r="U45" s="183">
        <f>IF(Tabla27131823[[#This Row],[Puntos scratch]]="","NO PUNTÚA",SUM(Tabla27131823[[#This Row],[Puntos scratch]],Tabla27131823[[#This Row],[Puntos clase]])*2)</f>
        <v>56</v>
      </c>
    </row>
    <row r="46" spans="1:24" x14ac:dyDescent="0.35">
      <c r="A46" s="188">
        <v>3</v>
      </c>
      <c r="B46" s="176">
        <v>38</v>
      </c>
      <c r="C46" s="179" t="s">
        <v>401</v>
      </c>
      <c r="D46" s="179" t="s">
        <v>394</v>
      </c>
      <c r="E46" s="179" t="s">
        <v>168</v>
      </c>
      <c r="F46" s="179" t="s">
        <v>324</v>
      </c>
      <c r="G46" s="179" t="s">
        <v>168</v>
      </c>
      <c r="H46" s="179" t="s">
        <v>441</v>
      </c>
      <c r="I46" s="180" t="s">
        <v>431</v>
      </c>
      <c r="J46" s="180">
        <v>8</v>
      </c>
      <c r="K46" s="187"/>
      <c r="L46" s="183">
        <f>IF(AND(E46="M",Tabla27131823[[#This Row],[POS]]&lt;&gt;"AB",Tabla27131823[[#This Row],[POS]]&lt;&gt;"DSQ"),COUNTIF($E$44:E46,"M"),"")</f>
        <v>3</v>
      </c>
      <c r="M46" s="183">
        <f>IF(E46="M",IF(Tabla27131823[[#This Row],[Tiempo]]="AB","",LOOKUP(Tabla27131823[[#This Row],[CLAS SCRATCH]],'Datos puntos'!$A$2:$A$23,'Datos puntos'!$B$2:$B$23)),"")</f>
        <v>17</v>
      </c>
      <c r="N46" s="183">
        <f>Tabla27131823[[#This Row],[CLAS SCRATCH]]</f>
        <v>3</v>
      </c>
      <c r="O46" s="183">
        <f>IF(E46="M",IF(Tabla27131823[[#This Row],[Tiempo]]="AB","",LOOKUP(Tabla27131823[[#This Row],[CLAS CLASE]],'Datos puntos'!$A$25:$A$53,'Datos puntos'!$B$25:$B$53)),"")</f>
        <v>6</v>
      </c>
      <c r="P46" s="183">
        <f>IF(Tabla27131823[[#This Row],[Puntos scratch]]="","NO PUNTÚA",SUM(Tabla27131823[[#This Row],[Puntos scratch]],Tabla27131823[[#This Row],[Puntos clase]])*2)</f>
        <v>46</v>
      </c>
      <c r="Q46" s="183">
        <f>IF(AND(G46="M",Tabla27131823[[#This Row],[POS]]&lt;&gt;"AB",Tabla27131823[[#This Row],[POS]]&lt;&gt;"DSQ"),COUNTIF($G$44:G46,"M"),"")</f>
        <v>3</v>
      </c>
      <c r="R46" s="183">
        <f>IF(G46="M",IF(Tabla27131823[[#This Row],[Tiempo]]="AB","",LOOKUP(Tabla27131823[[#This Row],[CLAS SCRATCH2]],'Datos puntos'!$A$2:$A$23,'Datos puntos'!$B$2:$B$23)),"")</f>
        <v>17</v>
      </c>
      <c r="S46" s="183">
        <f>Tabla27131823[[#This Row],[CLAS SCRATCH2]]</f>
        <v>3</v>
      </c>
      <c r="T46" s="183">
        <f>IF(G46="M",IF(Tabla27131823[[#This Row],[Tiempo]]="AB","",LOOKUP(Tabla27131823[[#This Row],[CLAS CLASE2]],'Datos puntos'!$A$25:$A$53,'Datos puntos'!$B$25:$B$53)),"")</f>
        <v>6</v>
      </c>
      <c r="U46" s="183">
        <f>IF(Tabla27131823[[#This Row],[Puntos scratch]]="","NO PUNTÚA",SUM(Tabla27131823[[#This Row],[Puntos scratch]],Tabla27131823[[#This Row],[Puntos clase]])*2)</f>
        <v>46</v>
      </c>
    </row>
    <row r="47" spans="1:24" x14ac:dyDescent="0.35">
      <c r="A47" s="193"/>
      <c r="B47" s="176"/>
      <c r="C47" s="179"/>
      <c r="D47" s="179"/>
      <c r="E47" s="179"/>
      <c r="F47" s="179"/>
      <c r="G47" s="179"/>
      <c r="H47" s="179"/>
      <c r="I47" s="180"/>
      <c r="J47" s="180"/>
      <c r="K47" s="187"/>
      <c r="L47" s="183" t="str">
        <f>IF(AND(E47="M",Tabla27131823[[#This Row],[POS]]&lt;&gt;"AB",Tabla27131823[[#This Row],[POS]]&lt;&gt;"DSQ"),COUNTIF($E$44:E47,"M"),"")</f>
        <v/>
      </c>
      <c r="M47" s="183" t="str">
        <f>IF(E47="M",IF(Tabla27131823[[#This Row],[Tiempo]]="AB","",LOOKUP(Tabla27131823[[#This Row],[CLAS SCRATCH]],'Datos puntos'!$A$2:$A$23,'Datos puntos'!$B$2:$B$23)),"")</f>
        <v/>
      </c>
      <c r="N47" s="183" t="str">
        <f>Tabla27131823[[#This Row],[CLAS SCRATCH]]</f>
        <v/>
      </c>
      <c r="O47" s="183" t="str">
        <f>IF(E47="M",IF(Tabla27131823[[#This Row],[Tiempo]]="AB","",LOOKUP(Tabla27131823[[#This Row],[CLAS CLASE]],'Datos puntos'!$A$25:$A$53,'Datos puntos'!$B$25:$B$53)),"")</f>
        <v/>
      </c>
      <c r="P47" s="183" t="str">
        <f>IF(Tabla27131823[[#This Row],[Puntos scratch]]="","NO PUNTÚA",SUM(Tabla27131823[[#This Row],[Puntos scratch]],Tabla27131823[[#This Row],[Puntos clase]])*2)</f>
        <v>NO PUNTÚA</v>
      </c>
      <c r="Q47" s="183" t="str">
        <f>IF(AND(G47="M",Tabla27131823[[#This Row],[POS]]&lt;&gt;"AB",Tabla27131823[[#This Row],[POS]]&lt;&gt;"DSQ"),COUNTIF($G$44:G47,"M"),"")</f>
        <v/>
      </c>
      <c r="R47" s="183" t="str">
        <f>IF(G47="M",IF(Tabla27131823[[#This Row],[Tiempo]]="AB","",LOOKUP(Tabla27131823[[#This Row],[CLAS SCRATCH2]],'Datos puntos'!$A$2:$A$23,'Datos puntos'!$B$2:$B$23)),"")</f>
        <v/>
      </c>
      <c r="S47" s="183" t="str">
        <f>Tabla27131823[[#This Row],[CLAS SCRATCH2]]</f>
        <v/>
      </c>
      <c r="T47" s="183" t="str">
        <f>IF(G47="M",IF(Tabla27131823[[#This Row],[Tiempo]]="AB","",LOOKUP(Tabla27131823[[#This Row],[CLAS CLASE2]],'Datos puntos'!$A$25:$A$53,'Datos puntos'!$B$25:$B$53)),"")</f>
        <v/>
      </c>
      <c r="U47" s="183" t="str">
        <f>IF(Tabla27131823[[#This Row],[Puntos scratch]]="","NO PUNTÚA",SUM(Tabla27131823[[#This Row],[Puntos scratch]],Tabla27131823[[#This Row],[Puntos clase]])*2)</f>
        <v>NO PUNTÚA</v>
      </c>
    </row>
    <row r="48" spans="1:24" x14ac:dyDescent="0.35">
      <c r="A48" s="193"/>
      <c r="B48" s="176"/>
      <c r="C48" s="179"/>
      <c r="D48" s="179"/>
      <c r="E48" s="179"/>
      <c r="F48" s="179"/>
      <c r="G48" s="179"/>
      <c r="H48" s="179"/>
      <c r="I48" s="180"/>
      <c r="J48" s="180"/>
      <c r="K48" s="187"/>
      <c r="L48" s="189"/>
      <c r="M48" s="189"/>
      <c r="N48" s="182"/>
      <c r="O48" s="183"/>
      <c r="P48" s="183"/>
      <c r="Q48" s="183"/>
      <c r="R48" s="183"/>
      <c r="S48" s="183"/>
      <c r="T48" s="183"/>
      <c r="U48" s="183"/>
    </row>
    <row r="49" spans="1:21" ht="15.5" x14ac:dyDescent="0.35">
      <c r="A49" s="174"/>
      <c r="B49" s="174"/>
      <c r="C49" s="174"/>
      <c r="D49" s="174"/>
      <c r="E49" s="174"/>
      <c r="F49" s="174"/>
      <c r="G49" s="174"/>
      <c r="H49" s="174"/>
      <c r="I49" s="174"/>
      <c r="J49" s="174"/>
      <c r="K49" s="174"/>
      <c r="L49" s="175" t="s">
        <v>430</v>
      </c>
      <c r="M49" s="175"/>
      <c r="N49" s="174"/>
      <c r="O49" s="174"/>
      <c r="P49" s="199"/>
      <c r="Q49" s="199"/>
      <c r="R49" s="199"/>
      <c r="S49" s="176"/>
      <c r="T49" s="202"/>
      <c r="U49" s="199"/>
    </row>
    <row r="50" spans="1:21" x14ac:dyDescent="0.35">
      <c r="A50" s="213" t="s">
        <v>190</v>
      </c>
      <c r="B50" s="186" t="s">
        <v>191</v>
      </c>
      <c r="C50" s="186" t="s">
        <v>192</v>
      </c>
      <c r="D50" s="186" t="s">
        <v>347</v>
      </c>
      <c r="E50" s="186" t="s">
        <v>194</v>
      </c>
      <c r="F50" s="186" t="s">
        <v>197</v>
      </c>
      <c r="G50" s="186" t="s">
        <v>198</v>
      </c>
      <c r="H50" s="186" t="s">
        <v>2</v>
      </c>
      <c r="I50" s="213" t="s">
        <v>199</v>
      </c>
      <c r="J50" s="214" t="s">
        <v>214</v>
      </c>
      <c r="K50" s="214" t="s">
        <v>217</v>
      </c>
      <c r="L50" s="214" t="s">
        <v>254</v>
      </c>
      <c r="M50" s="214" t="s">
        <v>218</v>
      </c>
      <c r="N50" s="214" t="s">
        <v>219</v>
      </c>
    </row>
    <row r="51" spans="1:21" x14ac:dyDescent="0.35">
      <c r="A51" s="188">
        <v>1</v>
      </c>
      <c r="B51" s="176"/>
      <c r="C51" s="179" t="s">
        <v>232</v>
      </c>
      <c r="D51" s="179" t="s">
        <v>461</v>
      </c>
      <c r="E51" s="179" t="s">
        <v>168</v>
      </c>
      <c r="F51" s="179" t="s">
        <v>397</v>
      </c>
      <c r="G51" s="180" t="s">
        <v>202</v>
      </c>
      <c r="H51" s="180">
        <v>8</v>
      </c>
      <c r="I51" s="187"/>
      <c r="J51" s="183">
        <f>IF(AND(E51="M",Tabla2311162126[[#This Row],[POS]]&lt;&gt;"AB",Tabla2311162126[[#This Row],[POS]]&lt;&gt;"DSQ"),COUNTIF($E$51:E51,"M"),"")</f>
        <v>1</v>
      </c>
      <c r="K51" s="183">
        <f>IF(E51="M",IF(Tabla2311162126[[#This Row],[Tiempo]]="AB","",LOOKUP(Tabla2311162126[[#This Row],[CLAS SCRATCH]],'Datos puntos'!$A$2:$A$23,'Datos puntos'!$B$2:$B$23)),"")</f>
        <v>25</v>
      </c>
      <c r="L51" s="183">
        <f>Tabla2311162126[[#This Row],[CLAS SCRATCH]]</f>
        <v>1</v>
      </c>
      <c r="M51" s="183">
        <f>IF(E51="M",IF(Tabla2311162126[[#This Row],[Tiempo]]="AB","",LOOKUP(Tabla2311162126[[#This Row],[CLAS CLASE]],'Datos puntos'!$A$25:$A$53,'Datos puntos'!$B$25:$B$53)),"")</f>
        <v>10</v>
      </c>
      <c r="N51" s="183">
        <f>IF(Tabla2311162126[[#This Row],[Puntos scratch]]="","NO PUNTÚA",SUM(Tabla2311162126[[#This Row],[Puntos scratch]],Tabla2311162126[[#This Row],[Puntos clase]])*2)</f>
        <v>70</v>
      </c>
    </row>
    <row r="52" spans="1:21" x14ac:dyDescent="0.35">
      <c r="A52" s="176">
        <v>2</v>
      </c>
      <c r="B52" s="176"/>
      <c r="C52" s="179" t="s">
        <v>189</v>
      </c>
      <c r="D52" s="179" t="s">
        <v>349</v>
      </c>
      <c r="E52" s="179" t="s">
        <v>168</v>
      </c>
      <c r="F52" s="179" t="s">
        <v>440</v>
      </c>
      <c r="G52" s="180" t="s">
        <v>202</v>
      </c>
      <c r="H52" s="180">
        <v>8</v>
      </c>
      <c r="I52" s="187"/>
      <c r="J52" s="183">
        <f>IF(AND(E52="M",Tabla2311162126[[#This Row],[POS]]&lt;&gt;"AB",Tabla2311162126[[#This Row],[POS]]&lt;&gt;"DSQ"),COUNTIF($E$51:E52,"M"),"")</f>
        <v>2</v>
      </c>
      <c r="K52" s="183">
        <f>IF(E52="M",IF(Tabla2311162126[[#This Row],[Tiempo]]="AB","",LOOKUP(Tabla2311162126[[#This Row],[CLAS SCRATCH]],'Datos puntos'!$A$2:$A$23,'Datos puntos'!$B$2:$B$23)),"")</f>
        <v>20</v>
      </c>
      <c r="L52" s="183">
        <f>Tabla2311162126[[#This Row],[CLAS SCRATCH]]</f>
        <v>2</v>
      </c>
      <c r="M52" s="183">
        <f>IF(E52="M",IF(Tabla2311162126[[#This Row],[Tiempo]]="AB","",LOOKUP(Tabla2311162126[[#This Row],[CLAS CLASE]],'Datos puntos'!$A$25:$A$53,'Datos puntos'!$B$25:$B$53)),"")</f>
        <v>8</v>
      </c>
      <c r="N52" s="183">
        <f>IF(Tabla2311162126[[#This Row],[Puntos scratch]]="","NO PUNTÚA",SUM(Tabla2311162126[[#This Row],[Puntos scratch]],Tabla2311162126[[#This Row],[Puntos clase]])*2)</f>
        <v>56</v>
      </c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50" fitToHeight="0" orientation="landscape" r:id="rId1"/>
  <headerFooter>
    <oddHeader>&amp;R&amp;"Canaro Light"&amp;10&amp;K000000 Internal Use&amp;1#_x000D_</oddHeader>
  </headerFooter>
  <rowBreaks count="1" manualBreakCount="1">
    <brk id="48" max="14" man="1"/>
  </rowBreaks>
  <colBreaks count="1" manualBreakCount="1">
    <brk id="8" max="51" man="1"/>
  </colBreaks>
  <tableParts count="5">
    <tablePart r:id="rId2"/>
    <tablePart r:id="rId3"/>
    <tablePart r:id="rId4"/>
    <tablePart r:id="rId5"/>
    <tablePart r:id="rId6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C66CC-61C5-42FA-A9E0-E0E3F5FADB78}">
  <dimension ref="A1:AA67"/>
  <sheetViews>
    <sheetView topLeftCell="E27" zoomScaleNormal="100" zoomScaleSheetLayoutView="80" zoomScalePageLayoutView="78" workbookViewId="0">
      <selection activeCell="H36" sqref="H36"/>
    </sheetView>
  </sheetViews>
  <sheetFormatPr baseColWidth="10" defaultColWidth="10.69921875" defaultRowHeight="14.5" x14ac:dyDescent="0.35"/>
  <cols>
    <col min="1" max="1" width="9" style="190" customWidth="1"/>
    <col min="2" max="2" width="6.296875" style="172" customWidth="1"/>
    <col min="3" max="3" width="36.5" style="172" bestFit="1" customWidth="1"/>
    <col min="4" max="4" width="45.5" style="172" bestFit="1" customWidth="1"/>
    <col min="5" max="5" width="8.796875" style="172" customWidth="1"/>
    <col min="6" max="6" width="47.19921875" style="172" customWidth="1"/>
    <col min="7" max="7" width="10.19921875" style="172" customWidth="1"/>
    <col min="8" max="8" width="41.796875" style="172" customWidth="1"/>
    <col min="9" max="9" width="11.19921875" style="196" customWidth="1"/>
    <col min="10" max="10" width="10.5" style="196" customWidth="1"/>
    <col min="11" max="11" width="12.796875" style="197" bestFit="1" customWidth="1"/>
    <col min="12" max="12" width="17.19921875" style="172" bestFit="1" customWidth="1"/>
    <col min="13" max="13" width="22" style="172" bestFit="1" customWidth="1"/>
    <col min="14" max="14" width="21.5" style="172" bestFit="1" customWidth="1"/>
    <col min="15" max="15" width="26" style="172" bestFit="1" customWidth="1"/>
    <col min="16" max="16" width="25" style="172" bestFit="1" customWidth="1"/>
    <col min="17" max="17" width="20.69921875" style="172" bestFit="1" customWidth="1"/>
    <col min="18" max="18" width="22.296875" style="172" bestFit="1" customWidth="1"/>
    <col min="19" max="19" width="34.796875" style="172" bestFit="1" customWidth="1"/>
    <col min="20" max="20" width="28.5" style="172" customWidth="1"/>
    <col min="21" max="21" width="23" style="172" bestFit="1" customWidth="1"/>
    <col min="22" max="22" width="19.19921875" style="172" bestFit="1" customWidth="1"/>
    <col min="23" max="23" width="21" style="172" bestFit="1" customWidth="1"/>
    <col min="24" max="24" width="32.19921875" style="172" bestFit="1" customWidth="1"/>
    <col min="25" max="25" width="10.69921875" style="172"/>
    <col min="26" max="26" width="31" style="172" bestFit="1" customWidth="1"/>
    <col min="27" max="256" width="10.69921875" style="172"/>
    <col min="257" max="257" width="9" style="172" customWidth="1"/>
    <col min="258" max="258" width="6.296875" style="172" customWidth="1"/>
    <col min="259" max="259" width="33.5" style="172" bestFit="1" customWidth="1"/>
    <col min="260" max="260" width="45.5" style="172" bestFit="1" customWidth="1"/>
    <col min="261" max="261" width="8.796875" style="172" customWidth="1"/>
    <col min="262" max="262" width="47.19921875" style="172" customWidth="1"/>
    <col min="263" max="263" width="10.19921875" style="172" customWidth="1"/>
    <col min="264" max="264" width="41.796875" style="172" customWidth="1"/>
    <col min="265" max="265" width="11.19921875" style="172" customWidth="1"/>
    <col min="266" max="266" width="10.5" style="172" customWidth="1"/>
    <col min="267" max="267" width="16" style="172" bestFit="1" customWidth="1"/>
    <col min="268" max="268" width="13.19921875" style="172" customWidth="1"/>
    <col min="269" max="269" width="11.796875" style="172" customWidth="1"/>
    <col min="270" max="270" width="9.69921875" style="172" customWidth="1"/>
    <col min="271" max="512" width="10.69921875" style="172"/>
    <col min="513" max="513" width="9" style="172" customWidth="1"/>
    <col min="514" max="514" width="6.296875" style="172" customWidth="1"/>
    <col min="515" max="515" width="33.5" style="172" bestFit="1" customWidth="1"/>
    <col min="516" max="516" width="45.5" style="172" bestFit="1" customWidth="1"/>
    <col min="517" max="517" width="8.796875" style="172" customWidth="1"/>
    <col min="518" max="518" width="47.19921875" style="172" customWidth="1"/>
    <col min="519" max="519" width="10.19921875" style="172" customWidth="1"/>
    <col min="520" max="520" width="41.796875" style="172" customWidth="1"/>
    <col min="521" max="521" width="11.19921875" style="172" customWidth="1"/>
    <col min="522" max="522" width="10.5" style="172" customWidth="1"/>
    <col min="523" max="523" width="16" style="172" bestFit="1" customWidth="1"/>
    <col min="524" max="524" width="13.19921875" style="172" customWidth="1"/>
    <col min="525" max="525" width="11.796875" style="172" customWidth="1"/>
    <col min="526" max="526" width="9.69921875" style="172" customWidth="1"/>
    <col min="527" max="768" width="10.69921875" style="172"/>
    <col min="769" max="769" width="9" style="172" customWidth="1"/>
    <col min="770" max="770" width="6.296875" style="172" customWidth="1"/>
    <col min="771" max="771" width="33.5" style="172" bestFit="1" customWidth="1"/>
    <col min="772" max="772" width="45.5" style="172" bestFit="1" customWidth="1"/>
    <col min="773" max="773" width="8.796875" style="172" customWidth="1"/>
    <col min="774" max="774" width="47.19921875" style="172" customWidth="1"/>
    <col min="775" max="775" width="10.19921875" style="172" customWidth="1"/>
    <col min="776" max="776" width="41.796875" style="172" customWidth="1"/>
    <col min="777" max="777" width="11.19921875" style="172" customWidth="1"/>
    <col min="778" max="778" width="10.5" style="172" customWidth="1"/>
    <col min="779" max="779" width="16" style="172" bestFit="1" customWidth="1"/>
    <col min="780" max="780" width="13.19921875" style="172" customWidth="1"/>
    <col min="781" max="781" width="11.796875" style="172" customWidth="1"/>
    <col min="782" max="782" width="9.69921875" style="172" customWidth="1"/>
    <col min="783" max="1024" width="10.69921875" style="172"/>
    <col min="1025" max="1025" width="9" style="172" customWidth="1"/>
    <col min="1026" max="1026" width="6.296875" style="172" customWidth="1"/>
    <col min="1027" max="1027" width="33.5" style="172" bestFit="1" customWidth="1"/>
    <col min="1028" max="1028" width="45.5" style="172" bestFit="1" customWidth="1"/>
    <col min="1029" max="1029" width="8.796875" style="172" customWidth="1"/>
    <col min="1030" max="1030" width="47.19921875" style="172" customWidth="1"/>
    <col min="1031" max="1031" width="10.19921875" style="172" customWidth="1"/>
    <col min="1032" max="1032" width="41.796875" style="172" customWidth="1"/>
    <col min="1033" max="1033" width="11.19921875" style="172" customWidth="1"/>
    <col min="1034" max="1034" width="10.5" style="172" customWidth="1"/>
    <col min="1035" max="1035" width="16" style="172" bestFit="1" customWidth="1"/>
    <col min="1036" max="1036" width="13.19921875" style="172" customWidth="1"/>
    <col min="1037" max="1037" width="11.796875" style="172" customWidth="1"/>
    <col min="1038" max="1038" width="9.69921875" style="172" customWidth="1"/>
    <col min="1039" max="1280" width="10.69921875" style="172"/>
    <col min="1281" max="1281" width="9" style="172" customWidth="1"/>
    <col min="1282" max="1282" width="6.296875" style="172" customWidth="1"/>
    <col min="1283" max="1283" width="33.5" style="172" bestFit="1" customWidth="1"/>
    <col min="1284" max="1284" width="45.5" style="172" bestFit="1" customWidth="1"/>
    <col min="1285" max="1285" width="8.796875" style="172" customWidth="1"/>
    <col min="1286" max="1286" width="47.19921875" style="172" customWidth="1"/>
    <col min="1287" max="1287" width="10.19921875" style="172" customWidth="1"/>
    <col min="1288" max="1288" width="41.796875" style="172" customWidth="1"/>
    <col min="1289" max="1289" width="11.19921875" style="172" customWidth="1"/>
    <col min="1290" max="1290" width="10.5" style="172" customWidth="1"/>
    <col min="1291" max="1291" width="16" style="172" bestFit="1" customWidth="1"/>
    <col min="1292" max="1292" width="13.19921875" style="172" customWidth="1"/>
    <col min="1293" max="1293" width="11.796875" style="172" customWidth="1"/>
    <col min="1294" max="1294" width="9.69921875" style="172" customWidth="1"/>
    <col min="1295" max="1536" width="10.69921875" style="172"/>
    <col min="1537" max="1537" width="9" style="172" customWidth="1"/>
    <col min="1538" max="1538" width="6.296875" style="172" customWidth="1"/>
    <col min="1539" max="1539" width="33.5" style="172" bestFit="1" customWidth="1"/>
    <col min="1540" max="1540" width="45.5" style="172" bestFit="1" customWidth="1"/>
    <col min="1541" max="1541" width="8.796875" style="172" customWidth="1"/>
    <col min="1542" max="1542" width="47.19921875" style="172" customWidth="1"/>
    <col min="1543" max="1543" width="10.19921875" style="172" customWidth="1"/>
    <col min="1544" max="1544" width="41.796875" style="172" customWidth="1"/>
    <col min="1545" max="1545" width="11.19921875" style="172" customWidth="1"/>
    <col min="1546" max="1546" width="10.5" style="172" customWidth="1"/>
    <col min="1547" max="1547" width="16" style="172" bestFit="1" customWidth="1"/>
    <col min="1548" max="1548" width="13.19921875" style="172" customWidth="1"/>
    <col min="1549" max="1549" width="11.796875" style="172" customWidth="1"/>
    <col min="1550" max="1550" width="9.69921875" style="172" customWidth="1"/>
    <col min="1551" max="1792" width="10.69921875" style="172"/>
    <col min="1793" max="1793" width="9" style="172" customWidth="1"/>
    <col min="1794" max="1794" width="6.296875" style="172" customWidth="1"/>
    <col min="1795" max="1795" width="33.5" style="172" bestFit="1" customWidth="1"/>
    <col min="1796" max="1796" width="45.5" style="172" bestFit="1" customWidth="1"/>
    <col min="1797" max="1797" width="8.796875" style="172" customWidth="1"/>
    <col min="1798" max="1798" width="47.19921875" style="172" customWidth="1"/>
    <col min="1799" max="1799" width="10.19921875" style="172" customWidth="1"/>
    <col min="1800" max="1800" width="41.796875" style="172" customWidth="1"/>
    <col min="1801" max="1801" width="11.19921875" style="172" customWidth="1"/>
    <col min="1802" max="1802" width="10.5" style="172" customWidth="1"/>
    <col min="1803" max="1803" width="16" style="172" bestFit="1" customWidth="1"/>
    <col min="1804" max="1804" width="13.19921875" style="172" customWidth="1"/>
    <col min="1805" max="1805" width="11.796875" style="172" customWidth="1"/>
    <col min="1806" max="1806" width="9.69921875" style="172" customWidth="1"/>
    <col min="1807" max="2048" width="10.69921875" style="172"/>
    <col min="2049" max="2049" width="9" style="172" customWidth="1"/>
    <col min="2050" max="2050" width="6.296875" style="172" customWidth="1"/>
    <col min="2051" max="2051" width="33.5" style="172" bestFit="1" customWidth="1"/>
    <col min="2052" max="2052" width="45.5" style="172" bestFit="1" customWidth="1"/>
    <col min="2053" max="2053" width="8.796875" style="172" customWidth="1"/>
    <col min="2054" max="2054" width="47.19921875" style="172" customWidth="1"/>
    <col min="2055" max="2055" width="10.19921875" style="172" customWidth="1"/>
    <col min="2056" max="2056" width="41.796875" style="172" customWidth="1"/>
    <col min="2057" max="2057" width="11.19921875" style="172" customWidth="1"/>
    <col min="2058" max="2058" width="10.5" style="172" customWidth="1"/>
    <col min="2059" max="2059" width="16" style="172" bestFit="1" customWidth="1"/>
    <col min="2060" max="2060" width="13.19921875" style="172" customWidth="1"/>
    <col min="2061" max="2061" width="11.796875" style="172" customWidth="1"/>
    <col min="2062" max="2062" width="9.69921875" style="172" customWidth="1"/>
    <col min="2063" max="2304" width="10.69921875" style="172"/>
    <col min="2305" max="2305" width="9" style="172" customWidth="1"/>
    <col min="2306" max="2306" width="6.296875" style="172" customWidth="1"/>
    <col min="2307" max="2307" width="33.5" style="172" bestFit="1" customWidth="1"/>
    <col min="2308" max="2308" width="45.5" style="172" bestFit="1" customWidth="1"/>
    <col min="2309" max="2309" width="8.796875" style="172" customWidth="1"/>
    <col min="2310" max="2310" width="47.19921875" style="172" customWidth="1"/>
    <col min="2311" max="2311" width="10.19921875" style="172" customWidth="1"/>
    <col min="2312" max="2312" width="41.796875" style="172" customWidth="1"/>
    <col min="2313" max="2313" width="11.19921875" style="172" customWidth="1"/>
    <col min="2314" max="2314" width="10.5" style="172" customWidth="1"/>
    <col min="2315" max="2315" width="16" style="172" bestFit="1" customWidth="1"/>
    <col min="2316" max="2316" width="13.19921875" style="172" customWidth="1"/>
    <col min="2317" max="2317" width="11.796875" style="172" customWidth="1"/>
    <col min="2318" max="2318" width="9.69921875" style="172" customWidth="1"/>
    <col min="2319" max="2560" width="10.69921875" style="172"/>
    <col min="2561" max="2561" width="9" style="172" customWidth="1"/>
    <col min="2562" max="2562" width="6.296875" style="172" customWidth="1"/>
    <col min="2563" max="2563" width="33.5" style="172" bestFit="1" customWidth="1"/>
    <col min="2564" max="2564" width="45.5" style="172" bestFit="1" customWidth="1"/>
    <col min="2565" max="2565" width="8.796875" style="172" customWidth="1"/>
    <col min="2566" max="2566" width="47.19921875" style="172" customWidth="1"/>
    <col min="2567" max="2567" width="10.19921875" style="172" customWidth="1"/>
    <col min="2568" max="2568" width="41.796875" style="172" customWidth="1"/>
    <col min="2569" max="2569" width="11.19921875" style="172" customWidth="1"/>
    <col min="2570" max="2570" width="10.5" style="172" customWidth="1"/>
    <col min="2571" max="2571" width="16" style="172" bestFit="1" customWidth="1"/>
    <col min="2572" max="2572" width="13.19921875" style="172" customWidth="1"/>
    <col min="2573" max="2573" width="11.796875" style="172" customWidth="1"/>
    <col min="2574" max="2574" width="9.69921875" style="172" customWidth="1"/>
    <col min="2575" max="2816" width="10.69921875" style="172"/>
    <col min="2817" max="2817" width="9" style="172" customWidth="1"/>
    <col min="2818" max="2818" width="6.296875" style="172" customWidth="1"/>
    <col min="2819" max="2819" width="33.5" style="172" bestFit="1" customWidth="1"/>
    <col min="2820" max="2820" width="45.5" style="172" bestFit="1" customWidth="1"/>
    <col min="2821" max="2821" width="8.796875" style="172" customWidth="1"/>
    <col min="2822" max="2822" width="47.19921875" style="172" customWidth="1"/>
    <col min="2823" max="2823" width="10.19921875" style="172" customWidth="1"/>
    <col min="2824" max="2824" width="41.796875" style="172" customWidth="1"/>
    <col min="2825" max="2825" width="11.19921875" style="172" customWidth="1"/>
    <col min="2826" max="2826" width="10.5" style="172" customWidth="1"/>
    <col min="2827" max="2827" width="16" style="172" bestFit="1" customWidth="1"/>
    <col min="2828" max="2828" width="13.19921875" style="172" customWidth="1"/>
    <col min="2829" max="2829" width="11.796875" style="172" customWidth="1"/>
    <col min="2830" max="2830" width="9.69921875" style="172" customWidth="1"/>
    <col min="2831" max="3072" width="10.69921875" style="172"/>
    <col min="3073" max="3073" width="9" style="172" customWidth="1"/>
    <col min="3074" max="3074" width="6.296875" style="172" customWidth="1"/>
    <col min="3075" max="3075" width="33.5" style="172" bestFit="1" customWidth="1"/>
    <col min="3076" max="3076" width="45.5" style="172" bestFit="1" customWidth="1"/>
    <col min="3077" max="3077" width="8.796875" style="172" customWidth="1"/>
    <col min="3078" max="3078" width="47.19921875" style="172" customWidth="1"/>
    <col min="3079" max="3079" width="10.19921875" style="172" customWidth="1"/>
    <col min="3080" max="3080" width="41.796875" style="172" customWidth="1"/>
    <col min="3081" max="3081" width="11.19921875" style="172" customWidth="1"/>
    <col min="3082" max="3082" width="10.5" style="172" customWidth="1"/>
    <col min="3083" max="3083" width="16" style="172" bestFit="1" customWidth="1"/>
    <col min="3084" max="3084" width="13.19921875" style="172" customWidth="1"/>
    <col min="3085" max="3085" width="11.796875" style="172" customWidth="1"/>
    <col min="3086" max="3086" width="9.69921875" style="172" customWidth="1"/>
    <col min="3087" max="3328" width="10.69921875" style="172"/>
    <col min="3329" max="3329" width="9" style="172" customWidth="1"/>
    <col min="3330" max="3330" width="6.296875" style="172" customWidth="1"/>
    <col min="3331" max="3331" width="33.5" style="172" bestFit="1" customWidth="1"/>
    <col min="3332" max="3332" width="45.5" style="172" bestFit="1" customWidth="1"/>
    <col min="3333" max="3333" width="8.796875" style="172" customWidth="1"/>
    <col min="3334" max="3334" width="47.19921875" style="172" customWidth="1"/>
    <col min="3335" max="3335" width="10.19921875" style="172" customWidth="1"/>
    <col min="3336" max="3336" width="41.796875" style="172" customWidth="1"/>
    <col min="3337" max="3337" width="11.19921875" style="172" customWidth="1"/>
    <col min="3338" max="3338" width="10.5" style="172" customWidth="1"/>
    <col min="3339" max="3339" width="16" style="172" bestFit="1" customWidth="1"/>
    <col min="3340" max="3340" width="13.19921875" style="172" customWidth="1"/>
    <col min="3341" max="3341" width="11.796875" style="172" customWidth="1"/>
    <col min="3342" max="3342" width="9.69921875" style="172" customWidth="1"/>
    <col min="3343" max="3584" width="10.69921875" style="172"/>
    <col min="3585" max="3585" width="9" style="172" customWidth="1"/>
    <col min="3586" max="3586" width="6.296875" style="172" customWidth="1"/>
    <col min="3587" max="3587" width="33.5" style="172" bestFit="1" customWidth="1"/>
    <col min="3588" max="3588" width="45.5" style="172" bestFit="1" customWidth="1"/>
    <col min="3589" max="3589" width="8.796875" style="172" customWidth="1"/>
    <col min="3590" max="3590" width="47.19921875" style="172" customWidth="1"/>
    <col min="3591" max="3591" width="10.19921875" style="172" customWidth="1"/>
    <col min="3592" max="3592" width="41.796875" style="172" customWidth="1"/>
    <col min="3593" max="3593" width="11.19921875" style="172" customWidth="1"/>
    <col min="3594" max="3594" width="10.5" style="172" customWidth="1"/>
    <col min="3595" max="3595" width="16" style="172" bestFit="1" customWidth="1"/>
    <col min="3596" max="3596" width="13.19921875" style="172" customWidth="1"/>
    <col min="3597" max="3597" width="11.796875" style="172" customWidth="1"/>
    <col min="3598" max="3598" width="9.69921875" style="172" customWidth="1"/>
    <col min="3599" max="3840" width="10.69921875" style="172"/>
    <col min="3841" max="3841" width="9" style="172" customWidth="1"/>
    <col min="3842" max="3842" width="6.296875" style="172" customWidth="1"/>
    <col min="3843" max="3843" width="33.5" style="172" bestFit="1" customWidth="1"/>
    <col min="3844" max="3844" width="45.5" style="172" bestFit="1" customWidth="1"/>
    <col min="3845" max="3845" width="8.796875" style="172" customWidth="1"/>
    <col min="3846" max="3846" width="47.19921875" style="172" customWidth="1"/>
    <col min="3847" max="3847" width="10.19921875" style="172" customWidth="1"/>
    <col min="3848" max="3848" width="41.796875" style="172" customWidth="1"/>
    <col min="3849" max="3849" width="11.19921875" style="172" customWidth="1"/>
    <col min="3850" max="3850" width="10.5" style="172" customWidth="1"/>
    <col min="3851" max="3851" width="16" style="172" bestFit="1" customWidth="1"/>
    <col min="3852" max="3852" width="13.19921875" style="172" customWidth="1"/>
    <col min="3853" max="3853" width="11.796875" style="172" customWidth="1"/>
    <col min="3854" max="3854" width="9.69921875" style="172" customWidth="1"/>
    <col min="3855" max="4096" width="10.69921875" style="172"/>
    <col min="4097" max="4097" width="9" style="172" customWidth="1"/>
    <col min="4098" max="4098" width="6.296875" style="172" customWidth="1"/>
    <col min="4099" max="4099" width="33.5" style="172" bestFit="1" customWidth="1"/>
    <col min="4100" max="4100" width="45.5" style="172" bestFit="1" customWidth="1"/>
    <col min="4101" max="4101" width="8.796875" style="172" customWidth="1"/>
    <col min="4102" max="4102" width="47.19921875" style="172" customWidth="1"/>
    <col min="4103" max="4103" width="10.19921875" style="172" customWidth="1"/>
    <col min="4104" max="4104" width="41.796875" style="172" customWidth="1"/>
    <col min="4105" max="4105" width="11.19921875" style="172" customWidth="1"/>
    <col min="4106" max="4106" width="10.5" style="172" customWidth="1"/>
    <col min="4107" max="4107" width="16" style="172" bestFit="1" customWidth="1"/>
    <col min="4108" max="4108" width="13.19921875" style="172" customWidth="1"/>
    <col min="4109" max="4109" width="11.796875" style="172" customWidth="1"/>
    <col min="4110" max="4110" width="9.69921875" style="172" customWidth="1"/>
    <col min="4111" max="4352" width="10.69921875" style="172"/>
    <col min="4353" max="4353" width="9" style="172" customWidth="1"/>
    <col min="4354" max="4354" width="6.296875" style="172" customWidth="1"/>
    <col min="4355" max="4355" width="33.5" style="172" bestFit="1" customWidth="1"/>
    <col min="4356" max="4356" width="45.5" style="172" bestFit="1" customWidth="1"/>
    <col min="4357" max="4357" width="8.796875" style="172" customWidth="1"/>
    <col min="4358" max="4358" width="47.19921875" style="172" customWidth="1"/>
    <col min="4359" max="4359" width="10.19921875" style="172" customWidth="1"/>
    <col min="4360" max="4360" width="41.796875" style="172" customWidth="1"/>
    <col min="4361" max="4361" width="11.19921875" style="172" customWidth="1"/>
    <col min="4362" max="4362" width="10.5" style="172" customWidth="1"/>
    <col min="4363" max="4363" width="16" style="172" bestFit="1" customWidth="1"/>
    <col min="4364" max="4364" width="13.19921875" style="172" customWidth="1"/>
    <col min="4365" max="4365" width="11.796875" style="172" customWidth="1"/>
    <col min="4366" max="4366" width="9.69921875" style="172" customWidth="1"/>
    <col min="4367" max="4608" width="10.69921875" style="172"/>
    <col min="4609" max="4609" width="9" style="172" customWidth="1"/>
    <col min="4610" max="4610" width="6.296875" style="172" customWidth="1"/>
    <col min="4611" max="4611" width="33.5" style="172" bestFit="1" customWidth="1"/>
    <col min="4612" max="4612" width="45.5" style="172" bestFit="1" customWidth="1"/>
    <col min="4613" max="4613" width="8.796875" style="172" customWidth="1"/>
    <col min="4614" max="4614" width="47.19921875" style="172" customWidth="1"/>
    <col min="4615" max="4615" width="10.19921875" style="172" customWidth="1"/>
    <col min="4616" max="4616" width="41.796875" style="172" customWidth="1"/>
    <col min="4617" max="4617" width="11.19921875" style="172" customWidth="1"/>
    <col min="4618" max="4618" width="10.5" style="172" customWidth="1"/>
    <col min="4619" max="4619" width="16" style="172" bestFit="1" customWidth="1"/>
    <col min="4620" max="4620" width="13.19921875" style="172" customWidth="1"/>
    <col min="4621" max="4621" width="11.796875" style="172" customWidth="1"/>
    <col min="4622" max="4622" width="9.69921875" style="172" customWidth="1"/>
    <col min="4623" max="4864" width="10.69921875" style="172"/>
    <col min="4865" max="4865" width="9" style="172" customWidth="1"/>
    <col min="4866" max="4866" width="6.296875" style="172" customWidth="1"/>
    <col min="4867" max="4867" width="33.5" style="172" bestFit="1" customWidth="1"/>
    <col min="4868" max="4868" width="45.5" style="172" bestFit="1" customWidth="1"/>
    <col min="4869" max="4869" width="8.796875" style="172" customWidth="1"/>
    <col min="4870" max="4870" width="47.19921875" style="172" customWidth="1"/>
    <col min="4871" max="4871" width="10.19921875" style="172" customWidth="1"/>
    <col min="4872" max="4872" width="41.796875" style="172" customWidth="1"/>
    <col min="4873" max="4873" width="11.19921875" style="172" customWidth="1"/>
    <col min="4874" max="4874" width="10.5" style="172" customWidth="1"/>
    <col min="4875" max="4875" width="16" style="172" bestFit="1" customWidth="1"/>
    <col min="4876" max="4876" width="13.19921875" style="172" customWidth="1"/>
    <col min="4877" max="4877" width="11.796875" style="172" customWidth="1"/>
    <col min="4878" max="4878" width="9.69921875" style="172" customWidth="1"/>
    <col min="4879" max="5120" width="10.69921875" style="172"/>
    <col min="5121" max="5121" width="9" style="172" customWidth="1"/>
    <col min="5122" max="5122" width="6.296875" style="172" customWidth="1"/>
    <col min="5123" max="5123" width="33.5" style="172" bestFit="1" customWidth="1"/>
    <col min="5124" max="5124" width="45.5" style="172" bestFit="1" customWidth="1"/>
    <col min="5125" max="5125" width="8.796875" style="172" customWidth="1"/>
    <col min="5126" max="5126" width="47.19921875" style="172" customWidth="1"/>
    <col min="5127" max="5127" width="10.19921875" style="172" customWidth="1"/>
    <col min="5128" max="5128" width="41.796875" style="172" customWidth="1"/>
    <col min="5129" max="5129" width="11.19921875" style="172" customWidth="1"/>
    <col min="5130" max="5130" width="10.5" style="172" customWidth="1"/>
    <col min="5131" max="5131" width="16" style="172" bestFit="1" customWidth="1"/>
    <col min="5132" max="5132" width="13.19921875" style="172" customWidth="1"/>
    <col min="5133" max="5133" width="11.796875" style="172" customWidth="1"/>
    <col min="5134" max="5134" width="9.69921875" style="172" customWidth="1"/>
    <col min="5135" max="5376" width="10.69921875" style="172"/>
    <col min="5377" max="5377" width="9" style="172" customWidth="1"/>
    <col min="5378" max="5378" width="6.296875" style="172" customWidth="1"/>
    <col min="5379" max="5379" width="33.5" style="172" bestFit="1" customWidth="1"/>
    <col min="5380" max="5380" width="45.5" style="172" bestFit="1" customWidth="1"/>
    <col min="5381" max="5381" width="8.796875" style="172" customWidth="1"/>
    <col min="5382" max="5382" width="47.19921875" style="172" customWidth="1"/>
    <col min="5383" max="5383" width="10.19921875" style="172" customWidth="1"/>
    <col min="5384" max="5384" width="41.796875" style="172" customWidth="1"/>
    <col min="5385" max="5385" width="11.19921875" style="172" customWidth="1"/>
    <col min="5386" max="5386" width="10.5" style="172" customWidth="1"/>
    <col min="5387" max="5387" width="16" style="172" bestFit="1" customWidth="1"/>
    <col min="5388" max="5388" width="13.19921875" style="172" customWidth="1"/>
    <col min="5389" max="5389" width="11.796875" style="172" customWidth="1"/>
    <col min="5390" max="5390" width="9.69921875" style="172" customWidth="1"/>
    <col min="5391" max="5632" width="10.69921875" style="172"/>
    <col min="5633" max="5633" width="9" style="172" customWidth="1"/>
    <col min="5634" max="5634" width="6.296875" style="172" customWidth="1"/>
    <col min="5635" max="5635" width="33.5" style="172" bestFit="1" customWidth="1"/>
    <col min="5636" max="5636" width="45.5" style="172" bestFit="1" customWidth="1"/>
    <col min="5637" max="5637" width="8.796875" style="172" customWidth="1"/>
    <col min="5638" max="5638" width="47.19921875" style="172" customWidth="1"/>
    <col min="5639" max="5639" width="10.19921875" style="172" customWidth="1"/>
    <col min="5640" max="5640" width="41.796875" style="172" customWidth="1"/>
    <col min="5641" max="5641" width="11.19921875" style="172" customWidth="1"/>
    <col min="5642" max="5642" width="10.5" style="172" customWidth="1"/>
    <col min="5643" max="5643" width="16" style="172" bestFit="1" customWidth="1"/>
    <col min="5644" max="5644" width="13.19921875" style="172" customWidth="1"/>
    <col min="5645" max="5645" width="11.796875" style="172" customWidth="1"/>
    <col min="5646" max="5646" width="9.69921875" style="172" customWidth="1"/>
    <col min="5647" max="5888" width="10.69921875" style="172"/>
    <col min="5889" max="5889" width="9" style="172" customWidth="1"/>
    <col min="5890" max="5890" width="6.296875" style="172" customWidth="1"/>
    <col min="5891" max="5891" width="33.5" style="172" bestFit="1" customWidth="1"/>
    <col min="5892" max="5892" width="45.5" style="172" bestFit="1" customWidth="1"/>
    <col min="5893" max="5893" width="8.796875" style="172" customWidth="1"/>
    <col min="5894" max="5894" width="47.19921875" style="172" customWidth="1"/>
    <col min="5895" max="5895" width="10.19921875" style="172" customWidth="1"/>
    <col min="5896" max="5896" width="41.796875" style="172" customWidth="1"/>
    <col min="5897" max="5897" width="11.19921875" style="172" customWidth="1"/>
    <col min="5898" max="5898" width="10.5" style="172" customWidth="1"/>
    <col min="5899" max="5899" width="16" style="172" bestFit="1" customWidth="1"/>
    <col min="5900" max="5900" width="13.19921875" style="172" customWidth="1"/>
    <col min="5901" max="5901" width="11.796875" style="172" customWidth="1"/>
    <col min="5902" max="5902" width="9.69921875" style="172" customWidth="1"/>
    <col min="5903" max="6144" width="10.69921875" style="172"/>
    <col min="6145" max="6145" width="9" style="172" customWidth="1"/>
    <col min="6146" max="6146" width="6.296875" style="172" customWidth="1"/>
    <col min="6147" max="6147" width="33.5" style="172" bestFit="1" customWidth="1"/>
    <col min="6148" max="6148" width="45.5" style="172" bestFit="1" customWidth="1"/>
    <col min="6149" max="6149" width="8.796875" style="172" customWidth="1"/>
    <col min="6150" max="6150" width="47.19921875" style="172" customWidth="1"/>
    <col min="6151" max="6151" width="10.19921875" style="172" customWidth="1"/>
    <col min="6152" max="6152" width="41.796875" style="172" customWidth="1"/>
    <col min="6153" max="6153" width="11.19921875" style="172" customWidth="1"/>
    <col min="6154" max="6154" width="10.5" style="172" customWidth="1"/>
    <col min="6155" max="6155" width="16" style="172" bestFit="1" customWidth="1"/>
    <col min="6156" max="6156" width="13.19921875" style="172" customWidth="1"/>
    <col min="6157" max="6157" width="11.796875" style="172" customWidth="1"/>
    <col min="6158" max="6158" width="9.69921875" style="172" customWidth="1"/>
    <col min="6159" max="6400" width="10.69921875" style="172"/>
    <col min="6401" max="6401" width="9" style="172" customWidth="1"/>
    <col min="6402" max="6402" width="6.296875" style="172" customWidth="1"/>
    <col min="6403" max="6403" width="33.5" style="172" bestFit="1" customWidth="1"/>
    <col min="6404" max="6404" width="45.5" style="172" bestFit="1" customWidth="1"/>
    <col min="6405" max="6405" width="8.796875" style="172" customWidth="1"/>
    <col min="6406" max="6406" width="47.19921875" style="172" customWidth="1"/>
    <col min="6407" max="6407" width="10.19921875" style="172" customWidth="1"/>
    <col min="6408" max="6408" width="41.796875" style="172" customWidth="1"/>
    <col min="6409" max="6409" width="11.19921875" style="172" customWidth="1"/>
    <col min="6410" max="6410" width="10.5" style="172" customWidth="1"/>
    <col min="6411" max="6411" width="16" style="172" bestFit="1" customWidth="1"/>
    <col min="6412" max="6412" width="13.19921875" style="172" customWidth="1"/>
    <col min="6413" max="6413" width="11.796875" style="172" customWidth="1"/>
    <col min="6414" max="6414" width="9.69921875" style="172" customWidth="1"/>
    <col min="6415" max="6656" width="10.69921875" style="172"/>
    <col min="6657" max="6657" width="9" style="172" customWidth="1"/>
    <col min="6658" max="6658" width="6.296875" style="172" customWidth="1"/>
    <col min="6659" max="6659" width="33.5" style="172" bestFit="1" customWidth="1"/>
    <col min="6660" max="6660" width="45.5" style="172" bestFit="1" customWidth="1"/>
    <col min="6661" max="6661" width="8.796875" style="172" customWidth="1"/>
    <col min="6662" max="6662" width="47.19921875" style="172" customWidth="1"/>
    <col min="6663" max="6663" width="10.19921875" style="172" customWidth="1"/>
    <col min="6664" max="6664" width="41.796875" style="172" customWidth="1"/>
    <col min="6665" max="6665" width="11.19921875" style="172" customWidth="1"/>
    <col min="6666" max="6666" width="10.5" style="172" customWidth="1"/>
    <col min="6667" max="6667" width="16" style="172" bestFit="1" customWidth="1"/>
    <col min="6668" max="6668" width="13.19921875" style="172" customWidth="1"/>
    <col min="6669" max="6669" width="11.796875" style="172" customWidth="1"/>
    <col min="6670" max="6670" width="9.69921875" style="172" customWidth="1"/>
    <col min="6671" max="6912" width="10.69921875" style="172"/>
    <col min="6913" max="6913" width="9" style="172" customWidth="1"/>
    <col min="6914" max="6914" width="6.296875" style="172" customWidth="1"/>
    <col min="6915" max="6915" width="33.5" style="172" bestFit="1" customWidth="1"/>
    <col min="6916" max="6916" width="45.5" style="172" bestFit="1" customWidth="1"/>
    <col min="6917" max="6917" width="8.796875" style="172" customWidth="1"/>
    <col min="6918" max="6918" width="47.19921875" style="172" customWidth="1"/>
    <col min="6919" max="6919" width="10.19921875" style="172" customWidth="1"/>
    <col min="6920" max="6920" width="41.796875" style="172" customWidth="1"/>
    <col min="6921" max="6921" width="11.19921875" style="172" customWidth="1"/>
    <col min="6922" max="6922" width="10.5" style="172" customWidth="1"/>
    <col min="6923" max="6923" width="16" style="172" bestFit="1" customWidth="1"/>
    <col min="6924" max="6924" width="13.19921875" style="172" customWidth="1"/>
    <col min="6925" max="6925" width="11.796875" style="172" customWidth="1"/>
    <col min="6926" max="6926" width="9.69921875" style="172" customWidth="1"/>
    <col min="6927" max="7168" width="10.69921875" style="172"/>
    <col min="7169" max="7169" width="9" style="172" customWidth="1"/>
    <col min="7170" max="7170" width="6.296875" style="172" customWidth="1"/>
    <col min="7171" max="7171" width="33.5" style="172" bestFit="1" customWidth="1"/>
    <col min="7172" max="7172" width="45.5" style="172" bestFit="1" customWidth="1"/>
    <col min="7173" max="7173" width="8.796875" style="172" customWidth="1"/>
    <col min="7174" max="7174" width="47.19921875" style="172" customWidth="1"/>
    <col min="7175" max="7175" width="10.19921875" style="172" customWidth="1"/>
    <col min="7176" max="7176" width="41.796875" style="172" customWidth="1"/>
    <col min="7177" max="7177" width="11.19921875" style="172" customWidth="1"/>
    <col min="7178" max="7178" width="10.5" style="172" customWidth="1"/>
    <col min="7179" max="7179" width="16" style="172" bestFit="1" customWidth="1"/>
    <col min="7180" max="7180" width="13.19921875" style="172" customWidth="1"/>
    <col min="7181" max="7181" width="11.796875" style="172" customWidth="1"/>
    <col min="7182" max="7182" width="9.69921875" style="172" customWidth="1"/>
    <col min="7183" max="7424" width="10.69921875" style="172"/>
    <col min="7425" max="7425" width="9" style="172" customWidth="1"/>
    <col min="7426" max="7426" width="6.296875" style="172" customWidth="1"/>
    <col min="7427" max="7427" width="33.5" style="172" bestFit="1" customWidth="1"/>
    <col min="7428" max="7428" width="45.5" style="172" bestFit="1" customWidth="1"/>
    <col min="7429" max="7429" width="8.796875" style="172" customWidth="1"/>
    <col min="7430" max="7430" width="47.19921875" style="172" customWidth="1"/>
    <col min="7431" max="7431" width="10.19921875" style="172" customWidth="1"/>
    <col min="7432" max="7432" width="41.796875" style="172" customWidth="1"/>
    <col min="7433" max="7433" width="11.19921875" style="172" customWidth="1"/>
    <col min="7434" max="7434" width="10.5" style="172" customWidth="1"/>
    <col min="7435" max="7435" width="16" style="172" bestFit="1" customWidth="1"/>
    <col min="7436" max="7436" width="13.19921875" style="172" customWidth="1"/>
    <col min="7437" max="7437" width="11.796875" style="172" customWidth="1"/>
    <col min="7438" max="7438" width="9.69921875" style="172" customWidth="1"/>
    <col min="7439" max="7680" width="10.69921875" style="172"/>
    <col min="7681" max="7681" width="9" style="172" customWidth="1"/>
    <col min="7682" max="7682" width="6.296875" style="172" customWidth="1"/>
    <col min="7683" max="7683" width="33.5" style="172" bestFit="1" customWidth="1"/>
    <col min="7684" max="7684" width="45.5" style="172" bestFit="1" customWidth="1"/>
    <col min="7685" max="7685" width="8.796875" style="172" customWidth="1"/>
    <col min="7686" max="7686" width="47.19921875" style="172" customWidth="1"/>
    <col min="7687" max="7687" width="10.19921875" style="172" customWidth="1"/>
    <col min="7688" max="7688" width="41.796875" style="172" customWidth="1"/>
    <col min="7689" max="7689" width="11.19921875" style="172" customWidth="1"/>
    <col min="7690" max="7690" width="10.5" style="172" customWidth="1"/>
    <col min="7691" max="7691" width="16" style="172" bestFit="1" customWidth="1"/>
    <col min="7692" max="7692" width="13.19921875" style="172" customWidth="1"/>
    <col min="7693" max="7693" width="11.796875" style="172" customWidth="1"/>
    <col min="7694" max="7694" width="9.69921875" style="172" customWidth="1"/>
    <col min="7695" max="7936" width="10.69921875" style="172"/>
    <col min="7937" max="7937" width="9" style="172" customWidth="1"/>
    <col min="7938" max="7938" width="6.296875" style="172" customWidth="1"/>
    <col min="7939" max="7939" width="33.5" style="172" bestFit="1" customWidth="1"/>
    <col min="7940" max="7940" width="45.5" style="172" bestFit="1" customWidth="1"/>
    <col min="7941" max="7941" width="8.796875" style="172" customWidth="1"/>
    <col min="7942" max="7942" width="47.19921875" style="172" customWidth="1"/>
    <col min="7943" max="7943" width="10.19921875" style="172" customWidth="1"/>
    <col min="7944" max="7944" width="41.796875" style="172" customWidth="1"/>
    <col min="7945" max="7945" width="11.19921875" style="172" customWidth="1"/>
    <col min="7946" max="7946" width="10.5" style="172" customWidth="1"/>
    <col min="7947" max="7947" width="16" style="172" bestFit="1" customWidth="1"/>
    <col min="7948" max="7948" width="13.19921875" style="172" customWidth="1"/>
    <col min="7949" max="7949" width="11.796875" style="172" customWidth="1"/>
    <col min="7950" max="7950" width="9.69921875" style="172" customWidth="1"/>
    <col min="7951" max="8192" width="10.69921875" style="172"/>
    <col min="8193" max="8193" width="9" style="172" customWidth="1"/>
    <col min="8194" max="8194" width="6.296875" style="172" customWidth="1"/>
    <col min="8195" max="8195" width="33.5" style="172" bestFit="1" customWidth="1"/>
    <col min="8196" max="8196" width="45.5" style="172" bestFit="1" customWidth="1"/>
    <col min="8197" max="8197" width="8.796875" style="172" customWidth="1"/>
    <col min="8198" max="8198" width="47.19921875" style="172" customWidth="1"/>
    <col min="8199" max="8199" width="10.19921875" style="172" customWidth="1"/>
    <col min="8200" max="8200" width="41.796875" style="172" customWidth="1"/>
    <col min="8201" max="8201" width="11.19921875" style="172" customWidth="1"/>
    <col min="8202" max="8202" width="10.5" style="172" customWidth="1"/>
    <col min="8203" max="8203" width="16" style="172" bestFit="1" customWidth="1"/>
    <col min="8204" max="8204" width="13.19921875" style="172" customWidth="1"/>
    <col min="8205" max="8205" width="11.796875" style="172" customWidth="1"/>
    <col min="8206" max="8206" width="9.69921875" style="172" customWidth="1"/>
    <col min="8207" max="8448" width="10.69921875" style="172"/>
    <col min="8449" max="8449" width="9" style="172" customWidth="1"/>
    <col min="8450" max="8450" width="6.296875" style="172" customWidth="1"/>
    <col min="8451" max="8451" width="33.5" style="172" bestFit="1" customWidth="1"/>
    <col min="8452" max="8452" width="45.5" style="172" bestFit="1" customWidth="1"/>
    <col min="8453" max="8453" width="8.796875" style="172" customWidth="1"/>
    <col min="8454" max="8454" width="47.19921875" style="172" customWidth="1"/>
    <col min="8455" max="8455" width="10.19921875" style="172" customWidth="1"/>
    <col min="8456" max="8456" width="41.796875" style="172" customWidth="1"/>
    <col min="8457" max="8457" width="11.19921875" style="172" customWidth="1"/>
    <col min="8458" max="8458" width="10.5" style="172" customWidth="1"/>
    <col min="8459" max="8459" width="16" style="172" bestFit="1" customWidth="1"/>
    <col min="8460" max="8460" width="13.19921875" style="172" customWidth="1"/>
    <col min="8461" max="8461" width="11.796875" style="172" customWidth="1"/>
    <col min="8462" max="8462" width="9.69921875" style="172" customWidth="1"/>
    <col min="8463" max="8704" width="10.69921875" style="172"/>
    <col min="8705" max="8705" width="9" style="172" customWidth="1"/>
    <col min="8706" max="8706" width="6.296875" style="172" customWidth="1"/>
    <col min="8707" max="8707" width="33.5" style="172" bestFit="1" customWidth="1"/>
    <col min="8708" max="8708" width="45.5" style="172" bestFit="1" customWidth="1"/>
    <col min="8709" max="8709" width="8.796875" style="172" customWidth="1"/>
    <col min="8710" max="8710" width="47.19921875" style="172" customWidth="1"/>
    <col min="8711" max="8711" width="10.19921875" style="172" customWidth="1"/>
    <col min="8712" max="8712" width="41.796875" style="172" customWidth="1"/>
    <col min="8713" max="8713" width="11.19921875" style="172" customWidth="1"/>
    <col min="8714" max="8714" width="10.5" style="172" customWidth="1"/>
    <col min="8715" max="8715" width="16" style="172" bestFit="1" customWidth="1"/>
    <col min="8716" max="8716" width="13.19921875" style="172" customWidth="1"/>
    <col min="8717" max="8717" width="11.796875" style="172" customWidth="1"/>
    <col min="8718" max="8718" width="9.69921875" style="172" customWidth="1"/>
    <col min="8719" max="8960" width="10.69921875" style="172"/>
    <col min="8961" max="8961" width="9" style="172" customWidth="1"/>
    <col min="8962" max="8962" width="6.296875" style="172" customWidth="1"/>
    <col min="8963" max="8963" width="33.5" style="172" bestFit="1" customWidth="1"/>
    <col min="8964" max="8964" width="45.5" style="172" bestFit="1" customWidth="1"/>
    <col min="8965" max="8965" width="8.796875" style="172" customWidth="1"/>
    <col min="8966" max="8966" width="47.19921875" style="172" customWidth="1"/>
    <col min="8967" max="8967" width="10.19921875" style="172" customWidth="1"/>
    <col min="8968" max="8968" width="41.796875" style="172" customWidth="1"/>
    <col min="8969" max="8969" width="11.19921875" style="172" customWidth="1"/>
    <col min="8970" max="8970" width="10.5" style="172" customWidth="1"/>
    <col min="8971" max="8971" width="16" style="172" bestFit="1" customWidth="1"/>
    <col min="8972" max="8972" width="13.19921875" style="172" customWidth="1"/>
    <col min="8973" max="8973" width="11.796875" style="172" customWidth="1"/>
    <col min="8974" max="8974" width="9.69921875" style="172" customWidth="1"/>
    <col min="8975" max="9216" width="10.69921875" style="172"/>
    <col min="9217" max="9217" width="9" style="172" customWidth="1"/>
    <col min="9218" max="9218" width="6.296875" style="172" customWidth="1"/>
    <col min="9219" max="9219" width="33.5" style="172" bestFit="1" customWidth="1"/>
    <col min="9220" max="9220" width="45.5" style="172" bestFit="1" customWidth="1"/>
    <col min="9221" max="9221" width="8.796875" style="172" customWidth="1"/>
    <col min="9222" max="9222" width="47.19921875" style="172" customWidth="1"/>
    <col min="9223" max="9223" width="10.19921875" style="172" customWidth="1"/>
    <col min="9224" max="9224" width="41.796875" style="172" customWidth="1"/>
    <col min="9225" max="9225" width="11.19921875" style="172" customWidth="1"/>
    <col min="9226" max="9226" width="10.5" style="172" customWidth="1"/>
    <col min="9227" max="9227" width="16" style="172" bestFit="1" customWidth="1"/>
    <col min="9228" max="9228" width="13.19921875" style="172" customWidth="1"/>
    <col min="9229" max="9229" width="11.796875" style="172" customWidth="1"/>
    <col min="9230" max="9230" width="9.69921875" style="172" customWidth="1"/>
    <col min="9231" max="9472" width="10.69921875" style="172"/>
    <col min="9473" max="9473" width="9" style="172" customWidth="1"/>
    <col min="9474" max="9474" width="6.296875" style="172" customWidth="1"/>
    <col min="9475" max="9475" width="33.5" style="172" bestFit="1" customWidth="1"/>
    <col min="9476" max="9476" width="45.5" style="172" bestFit="1" customWidth="1"/>
    <col min="9477" max="9477" width="8.796875" style="172" customWidth="1"/>
    <col min="9478" max="9478" width="47.19921875" style="172" customWidth="1"/>
    <col min="9479" max="9479" width="10.19921875" style="172" customWidth="1"/>
    <col min="9480" max="9480" width="41.796875" style="172" customWidth="1"/>
    <col min="9481" max="9481" width="11.19921875" style="172" customWidth="1"/>
    <col min="9482" max="9482" width="10.5" style="172" customWidth="1"/>
    <col min="9483" max="9483" width="16" style="172" bestFit="1" customWidth="1"/>
    <col min="9484" max="9484" width="13.19921875" style="172" customWidth="1"/>
    <col min="9485" max="9485" width="11.796875" style="172" customWidth="1"/>
    <col min="9486" max="9486" width="9.69921875" style="172" customWidth="1"/>
    <col min="9487" max="9728" width="10.69921875" style="172"/>
    <col min="9729" max="9729" width="9" style="172" customWidth="1"/>
    <col min="9730" max="9730" width="6.296875" style="172" customWidth="1"/>
    <col min="9731" max="9731" width="33.5" style="172" bestFit="1" customWidth="1"/>
    <col min="9732" max="9732" width="45.5" style="172" bestFit="1" customWidth="1"/>
    <col min="9733" max="9733" width="8.796875" style="172" customWidth="1"/>
    <col min="9734" max="9734" width="47.19921875" style="172" customWidth="1"/>
    <col min="9735" max="9735" width="10.19921875" style="172" customWidth="1"/>
    <col min="9736" max="9736" width="41.796875" style="172" customWidth="1"/>
    <col min="9737" max="9737" width="11.19921875" style="172" customWidth="1"/>
    <col min="9738" max="9738" width="10.5" style="172" customWidth="1"/>
    <col min="9739" max="9739" width="16" style="172" bestFit="1" customWidth="1"/>
    <col min="9740" max="9740" width="13.19921875" style="172" customWidth="1"/>
    <col min="9741" max="9741" width="11.796875" style="172" customWidth="1"/>
    <col min="9742" max="9742" width="9.69921875" style="172" customWidth="1"/>
    <col min="9743" max="9984" width="10.69921875" style="172"/>
    <col min="9985" max="9985" width="9" style="172" customWidth="1"/>
    <col min="9986" max="9986" width="6.296875" style="172" customWidth="1"/>
    <col min="9987" max="9987" width="33.5" style="172" bestFit="1" customWidth="1"/>
    <col min="9988" max="9988" width="45.5" style="172" bestFit="1" customWidth="1"/>
    <col min="9989" max="9989" width="8.796875" style="172" customWidth="1"/>
    <col min="9990" max="9990" width="47.19921875" style="172" customWidth="1"/>
    <col min="9991" max="9991" width="10.19921875" style="172" customWidth="1"/>
    <col min="9992" max="9992" width="41.796875" style="172" customWidth="1"/>
    <col min="9993" max="9993" width="11.19921875" style="172" customWidth="1"/>
    <col min="9994" max="9994" width="10.5" style="172" customWidth="1"/>
    <col min="9995" max="9995" width="16" style="172" bestFit="1" customWidth="1"/>
    <col min="9996" max="9996" width="13.19921875" style="172" customWidth="1"/>
    <col min="9997" max="9997" width="11.796875" style="172" customWidth="1"/>
    <col min="9998" max="9998" width="9.69921875" style="172" customWidth="1"/>
    <col min="9999" max="10240" width="10.69921875" style="172"/>
    <col min="10241" max="10241" width="9" style="172" customWidth="1"/>
    <col min="10242" max="10242" width="6.296875" style="172" customWidth="1"/>
    <col min="10243" max="10243" width="33.5" style="172" bestFit="1" customWidth="1"/>
    <col min="10244" max="10244" width="45.5" style="172" bestFit="1" customWidth="1"/>
    <col min="10245" max="10245" width="8.796875" style="172" customWidth="1"/>
    <col min="10246" max="10246" width="47.19921875" style="172" customWidth="1"/>
    <col min="10247" max="10247" width="10.19921875" style="172" customWidth="1"/>
    <col min="10248" max="10248" width="41.796875" style="172" customWidth="1"/>
    <col min="10249" max="10249" width="11.19921875" style="172" customWidth="1"/>
    <col min="10250" max="10250" width="10.5" style="172" customWidth="1"/>
    <col min="10251" max="10251" width="16" style="172" bestFit="1" customWidth="1"/>
    <col min="10252" max="10252" width="13.19921875" style="172" customWidth="1"/>
    <col min="10253" max="10253" width="11.796875" style="172" customWidth="1"/>
    <col min="10254" max="10254" width="9.69921875" style="172" customWidth="1"/>
    <col min="10255" max="10496" width="10.69921875" style="172"/>
    <col min="10497" max="10497" width="9" style="172" customWidth="1"/>
    <col min="10498" max="10498" width="6.296875" style="172" customWidth="1"/>
    <col min="10499" max="10499" width="33.5" style="172" bestFit="1" customWidth="1"/>
    <col min="10500" max="10500" width="45.5" style="172" bestFit="1" customWidth="1"/>
    <col min="10501" max="10501" width="8.796875" style="172" customWidth="1"/>
    <col min="10502" max="10502" width="47.19921875" style="172" customWidth="1"/>
    <col min="10503" max="10503" width="10.19921875" style="172" customWidth="1"/>
    <col min="10504" max="10504" width="41.796875" style="172" customWidth="1"/>
    <col min="10505" max="10505" width="11.19921875" style="172" customWidth="1"/>
    <col min="10506" max="10506" width="10.5" style="172" customWidth="1"/>
    <col min="10507" max="10507" width="16" style="172" bestFit="1" customWidth="1"/>
    <col min="10508" max="10508" width="13.19921875" style="172" customWidth="1"/>
    <col min="10509" max="10509" width="11.796875" style="172" customWidth="1"/>
    <col min="10510" max="10510" width="9.69921875" style="172" customWidth="1"/>
    <col min="10511" max="10752" width="10.69921875" style="172"/>
    <col min="10753" max="10753" width="9" style="172" customWidth="1"/>
    <col min="10754" max="10754" width="6.296875" style="172" customWidth="1"/>
    <col min="10755" max="10755" width="33.5" style="172" bestFit="1" customWidth="1"/>
    <col min="10756" max="10756" width="45.5" style="172" bestFit="1" customWidth="1"/>
    <col min="10757" max="10757" width="8.796875" style="172" customWidth="1"/>
    <col min="10758" max="10758" width="47.19921875" style="172" customWidth="1"/>
    <col min="10759" max="10759" width="10.19921875" style="172" customWidth="1"/>
    <col min="10760" max="10760" width="41.796875" style="172" customWidth="1"/>
    <col min="10761" max="10761" width="11.19921875" style="172" customWidth="1"/>
    <col min="10762" max="10762" width="10.5" style="172" customWidth="1"/>
    <col min="10763" max="10763" width="16" style="172" bestFit="1" customWidth="1"/>
    <col min="10764" max="10764" width="13.19921875" style="172" customWidth="1"/>
    <col min="10765" max="10765" width="11.796875" style="172" customWidth="1"/>
    <col min="10766" max="10766" width="9.69921875" style="172" customWidth="1"/>
    <col min="10767" max="11008" width="10.69921875" style="172"/>
    <col min="11009" max="11009" width="9" style="172" customWidth="1"/>
    <col min="11010" max="11010" width="6.296875" style="172" customWidth="1"/>
    <col min="11011" max="11011" width="33.5" style="172" bestFit="1" customWidth="1"/>
    <col min="11012" max="11012" width="45.5" style="172" bestFit="1" customWidth="1"/>
    <col min="11013" max="11013" width="8.796875" style="172" customWidth="1"/>
    <col min="11014" max="11014" width="47.19921875" style="172" customWidth="1"/>
    <col min="11015" max="11015" width="10.19921875" style="172" customWidth="1"/>
    <col min="11016" max="11016" width="41.796875" style="172" customWidth="1"/>
    <col min="11017" max="11017" width="11.19921875" style="172" customWidth="1"/>
    <col min="11018" max="11018" width="10.5" style="172" customWidth="1"/>
    <col min="11019" max="11019" width="16" style="172" bestFit="1" customWidth="1"/>
    <col min="11020" max="11020" width="13.19921875" style="172" customWidth="1"/>
    <col min="11021" max="11021" width="11.796875" style="172" customWidth="1"/>
    <col min="11022" max="11022" width="9.69921875" style="172" customWidth="1"/>
    <col min="11023" max="11264" width="10.69921875" style="172"/>
    <col min="11265" max="11265" width="9" style="172" customWidth="1"/>
    <col min="11266" max="11266" width="6.296875" style="172" customWidth="1"/>
    <col min="11267" max="11267" width="33.5" style="172" bestFit="1" customWidth="1"/>
    <col min="11268" max="11268" width="45.5" style="172" bestFit="1" customWidth="1"/>
    <col min="11269" max="11269" width="8.796875" style="172" customWidth="1"/>
    <col min="11270" max="11270" width="47.19921875" style="172" customWidth="1"/>
    <col min="11271" max="11271" width="10.19921875" style="172" customWidth="1"/>
    <col min="11272" max="11272" width="41.796875" style="172" customWidth="1"/>
    <col min="11273" max="11273" width="11.19921875" style="172" customWidth="1"/>
    <col min="11274" max="11274" width="10.5" style="172" customWidth="1"/>
    <col min="11275" max="11275" width="16" style="172" bestFit="1" customWidth="1"/>
    <col min="11276" max="11276" width="13.19921875" style="172" customWidth="1"/>
    <col min="11277" max="11277" width="11.796875" style="172" customWidth="1"/>
    <col min="11278" max="11278" width="9.69921875" style="172" customWidth="1"/>
    <col min="11279" max="11520" width="10.69921875" style="172"/>
    <col min="11521" max="11521" width="9" style="172" customWidth="1"/>
    <col min="11522" max="11522" width="6.296875" style="172" customWidth="1"/>
    <col min="11523" max="11523" width="33.5" style="172" bestFit="1" customWidth="1"/>
    <col min="11524" max="11524" width="45.5" style="172" bestFit="1" customWidth="1"/>
    <col min="11525" max="11525" width="8.796875" style="172" customWidth="1"/>
    <col min="11526" max="11526" width="47.19921875" style="172" customWidth="1"/>
    <col min="11527" max="11527" width="10.19921875" style="172" customWidth="1"/>
    <col min="11528" max="11528" width="41.796875" style="172" customWidth="1"/>
    <col min="11529" max="11529" width="11.19921875" style="172" customWidth="1"/>
    <col min="11530" max="11530" width="10.5" style="172" customWidth="1"/>
    <col min="11531" max="11531" width="16" style="172" bestFit="1" customWidth="1"/>
    <col min="11532" max="11532" width="13.19921875" style="172" customWidth="1"/>
    <col min="11533" max="11533" width="11.796875" style="172" customWidth="1"/>
    <col min="11534" max="11534" width="9.69921875" style="172" customWidth="1"/>
    <col min="11535" max="11776" width="10.69921875" style="172"/>
    <col min="11777" max="11777" width="9" style="172" customWidth="1"/>
    <col min="11778" max="11778" width="6.296875" style="172" customWidth="1"/>
    <col min="11779" max="11779" width="33.5" style="172" bestFit="1" customWidth="1"/>
    <col min="11780" max="11780" width="45.5" style="172" bestFit="1" customWidth="1"/>
    <col min="11781" max="11781" width="8.796875" style="172" customWidth="1"/>
    <col min="11782" max="11782" width="47.19921875" style="172" customWidth="1"/>
    <col min="11783" max="11783" width="10.19921875" style="172" customWidth="1"/>
    <col min="11784" max="11784" width="41.796875" style="172" customWidth="1"/>
    <col min="11785" max="11785" width="11.19921875" style="172" customWidth="1"/>
    <col min="11786" max="11786" width="10.5" style="172" customWidth="1"/>
    <col min="11787" max="11787" width="16" style="172" bestFit="1" customWidth="1"/>
    <col min="11788" max="11788" width="13.19921875" style="172" customWidth="1"/>
    <col min="11789" max="11789" width="11.796875" style="172" customWidth="1"/>
    <col min="11790" max="11790" width="9.69921875" style="172" customWidth="1"/>
    <col min="11791" max="12032" width="10.69921875" style="172"/>
    <col min="12033" max="12033" width="9" style="172" customWidth="1"/>
    <col min="12034" max="12034" width="6.296875" style="172" customWidth="1"/>
    <col min="12035" max="12035" width="33.5" style="172" bestFit="1" customWidth="1"/>
    <col min="12036" max="12036" width="45.5" style="172" bestFit="1" customWidth="1"/>
    <col min="12037" max="12037" width="8.796875" style="172" customWidth="1"/>
    <col min="12038" max="12038" width="47.19921875" style="172" customWidth="1"/>
    <col min="12039" max="12039" width="10.19921875" style="172" customWidth="1"/>
    <col min="12040" max="12040" width="41.796875" style="172" customWidth="1"/>
    <col min="12041" max="12041" width="11.19921875" style="172" customWidth="1"/>
    <col min="12042" max="12042" width="10.5" style="172" customWidth="1"/>
    <col min="12043" max="12043" width="16" style="172" bestFit="1" customWidth="1"/>
    <col min="12044" max="12044" width="13.19921875" style="172" customWidth="1"/>
    <col min="12045" max="12045" width="11.796875" style="172" customWidth="1"/>
    <col min="12046" max="12046" width="9.69921875" style="172" customWidth="1"/>
    <col min="12047" max="12288" width="10.69921875" style="172"/>
    <col min="12289" max="12289" width="9" style="172" customWidth="1"/>
    <col min="12290" max="12290" width="6.296875" style="172" customWidth="1"/>
    <col min="12291" max="12291" width="33.5" style="172" bestFit="1" customWidth="1"/>
    <col min="12292" max="12292" width="45.5" style="172" bestFit="1" customWidth="1"/>
    <col min="12293" max="12293" width="8.796875" style="172" customWidth="1"/>
    <col min="12294" max="12294" width="47.19921875" style="172" customWidth="1"/>
    <col min="12295" max="12295" width="10.19921875" style="172" customWidth="1"/>
    <col min="12296" max="12296" width="41.796875" style="172" customWidth="1"/>
    <col min="12297" max="12297" width="11.19921875" style="172" customWidth="1"/>
    <col min="12298" max="12298" width="10.5" style="172" customWidth="1"/>
    <col min="12299" max="12299" width="16" style="172" bestFit="1" customWidth="1"/>
    <col min="12300" max="12300" width="13.19921875" style="172" customWidth="1"/>
    <col min="12301" max="12301" width="11.796875" style="172" customWidth="1"/>
    <col min="12302" max="12302" width="9.69921875" style="172" customWidth="1"/>
    <col min="12303" max="12544" width="10.69921875" style="172"/>
    <col min="12545" max="12545" width="9" style="172" customWidth="1"/>
    <col min="12546" max="12546" width="6.296875" style="172" customWidth="1"/>
    <col min="12547" max="12547" width="33.5" style="172" bestFit="1" customWidth="1"/>
    <col min="12548" max="12548" width="45.5" style="172" bestFit="1" customWidth="1"/>
    <col min="12549" max="12549" width="8.796875" style="172" customWidth="1"/>
    <col min="12550" max="12550" width="47.19921875" style="172" customWidth="1"/>
    <col min="12551" max="12551" width="10.19921875" style="172" customWidth="1"/>
    <col min="12552" max="12552" width="41.796875" style="172" customWidth="1"/>
    <col min="12553" max="12553" width="11.19921875" style="172" customWidth="1"/>
    <col min="12554" max="12554" width="10.5" style="172" customWidth="1"/>
    <col min="12555" max="12555" width="16" style="172" bestFit="1" customWidth="1"/>
    <col min="12556" max="12556" width="13.19921875" style="172" customWidth="1"/>
    <col min="12557" max="12557" width="11.796875" style="172" customWidth="1"/>
    <col min="12558" max="12558" width="9.69921875" style="172" customWidth="1"/>
    <col min="12559" max="12800" width="10.69921875" style="172"/>
    <col min="12801" max="12801" width="9" style="172" customWidth="1"/>
    <col min="12802" max="12802" width="6.296875" style="172" customWidth="1"/>
    <col min="12803" max="12803" width="33.5" style="172" bestFit="1" customWidth="1"/>
    <col min="12804" max="12804" width="45.5" style="172" bestFit="1" customWidth="1"/>
    <col min="12805" max="12805" width="8.796875" style="172" customWidth="1"/>
    <col min="12806" max="12806" width="47.19921875" style="172" customWidth="1"/>
    <col min="12807" max="12807" width="10.19921875" style="172" customWidth="1"/>
    <col min="12808" max="12808" width="41.796875" style="172" customWidth="1"/>
    <col min="12809" max="12809" width="11.19921875" style="172" customWidth="1"/>
    <col min="12810" max="12810" width="10.5" style="172" customWidth="1"/>
    <col min="12811" max="12811" width="16" style="172" bestFit="1" customWidth="1"/>
    <col min="12812" max="12812" width="13.19921875" style="172" customWidth="1"/>
    <col min="12813" max="12813" width="11.796875" style="172" customWidth="1"/>
    <col min="12814" max="12814" width="9.69921875" style="172" customWidth="1"/>
    <col min="12815" max="13056" width="10.69921875" style="172"/>
    <col min="13057" max="13057" width="9" style="172" customWidth="1"/>
    <col min="13058" max="13058" width="6.296875" style="172" customWidth="1"/>
    <col min="13059" max="13059" width="33.5" style="172" bestFit="1" customWidth="1"/>
    <col min="13060" max="13060" width="45.5" style="172" bestFit="1" customWidth="1"/>
    <col min="13061" max="13061" width="8.796875" style="172" customWidth="1"/>
    <col min="13062" max="13062" width="47.19921875" style="172" customWidth="1"/>
    <col min="13063" max="13063" width="10.19921875" style="172" customWidth="1"/>
    <col min="13064" max="13064" width="41.796875" style="172" customWidth="1"/>
    <col min="13065" max="13065" width="11.19921875" style="172" customWidth="1"/>
    <col min="13066" max="13066" width="10.5" style="172" customWidth="1"/>
    <col min="13067" max="13067" width="16" style="172" bestFit="1" customWidth="1"/>
    <col min="13068" max="13068" width="13.19921875" style="172" customWidth="1"/>
    <col min="13069" max="13069" width="11.796875" style="172" customWidth="1"/>
    <col min="13070" max="13070" width="9.69921875" style="172" customWidth="1"/>
    <col min="13071" max="13312" width="10.69921875" style="172"/>
    <col min="13313" max="13313" width="9" style="172" customWidth="1"/>
    <col min="13314" max="13314" width="6.296875" style="172" customWidth="1"/>
    <col min="13315" max="13315" width="33.5" style="172" bestFit="1" customWidth="1"/>
    <col min="13316" max="13316" width="45.5" style="172" bestFit="1" customWidth="1"/>
    <col min="13317" max="13317" width="8.796875" style="172" customWidth="1"/>
    <col min="13318" max="13318" width="47.19921875" style="172" customWidth="1"/>
    <col min="13319" max="13319" width="10.19921875" style="172" customWidth="1"/>
    <col min="13320" max="13320" width="41.796875" style="172" customWidth="1"/>
    <col min="13321" max="13321" width="11.19921875" style="172" customWidth="1"/>
    <col min="13322" max="13322" width="10.5" style="172" customWidth="1"/>
    <col min="13323" max="13323" width="16" style="172" bestFit="1" customWidth="1"/>
    <col min="13324" max="13324" width="13.19921875" style="172" customWidth="1"/>
    <col min="13325" max="13325" width="11.796875" style="172" customWidth="1"/>
    <col min="13326" max="13326" width="9.69921875" style="172" customWidth="1"/>
    <col min="13327" max="13568" width="10.69921875" style="172"/>
    <col min="13569" max="13569" width="9" style="172" customWidth="1"/>
    <col min="13570" max="13570" width="6.296875" style="172" customWidth="1"/>
    <col min="13571" max="13571" width="33.5" style="172" bestFit="1" customWidth="1"/>
    <col min="13572" max="13572" width="45.5" style="172" bestFit="1" customWidth="1"/>
    <col min="13573" max="13573" width="8.796875" style="172" customWidth="1"/>
    <col min="13574" max="13574" width="47.19921875" style="172" customWidth="1"/>
    <col min="13575" max="13575" width="10.19921875" style="172" customWidth="1"/>
    <col min="13576" max="13576" width="41.796875" style="172" customWidth="1"/>
    <col min="13577" max="13577" width="11.19921875" style="172" customWidth="1"/>
    <col min="13578" max="13578" width="10.5" style="172" customWidth="1"/>
    <col min="13579" max="13579" width="16" style="172" bestFit="1" customWidth="1"/>
    <col min="13580" max="13580" width="13.19921875" style="172" customWidth="1"/>
    <col min="13581" max="13581" width="11.796875" style="172" customWidth="1"/>
    <col min="13582" max="13582" width="9.69921875" style="172" customWidth="1"/>
    <col min="13583" max="13824" width="10.69921875" style="172"/>
    <col min="13825" max="13825" width="9" style="172" customWidth="1"/>
    <col min="13826" max="13826" width="6.296875" style="172" customWidth="1"/>
    <col min="13827" max="13827" width="33.5" style="172" bestFit="1" customWidth="1"/>
    <col min="13828" max="13828" width="45.5" style="172" bestFit="1" customWidth="1"/>
    <col min="13829" max="13829" width="8.796875" style="172" customWidth="1"/>
    <col min="13830" max="13830" width="47.19921875" style="172" customWidth="1"/>
    <col min="13831" max="13831" width="10.19921875" style="172" customWidth="1"/>
    <col min="13832" max="13832" width="41.796875" style="172" customWidth="1"/>
    <col min="13833" max="13833" width="11.19921875" style="172" customWidth="1"/>
    <col min="13834" max="13834" width="10.5" style="172" customWidth="1"/>
    <col min="13835" max="13835" width="16" style="172" bestFit="1" customWidth="1"/>
    <col min="13836" max="13836" width="13.19921875" style="172" customWidth="1"/>
    <col min="13837" max="13837" width="11.796875" style="172" customWidth="1"/>
    <col min="13838" max="13838" width="9.69921875" style="172" customWidth="1"/>
    <col min="13839" max="14080" width="10.69921875" style="172"/>
    <col min="14081" max="14081" width="9" style="172" customWidth="1"/>
    <col min="14082" max="14082" width="6.296875" style="172" customWidth="1"/>
    <col min="14083" max="14083" width="33.5" style="172" bestFit="1" customWidth="1"/>
    <col min="14084" max="14084" width="45.5" style="172" bestFit="1" customWidth="1"/>
    <col min="14085" max="14085" width="8.796875" style="172" customWidth="1"/>
    <col min="14086" max="14086" width="47.19921875" style="172" customWidth="1"/>
    <col min="14087" max="14087" width="10.19921875" style="172" customWidth="1"/>
    <col min="14088" max="14088" width="41.796875" style="172" customWidth="1"/>
    <col min="14089" max="14089" width="11.19921875" style="172" customWidth="1"/>
    <col min="14090" max="14090" width="10.5" style="172" customWidth="1"/>
    <col min="14091" max="14091" width="16" style="172" bestFit="1" customWidth="1"/>
    <col min="14092" max="14092" width="13.19921875" style="172" customWidth="1"/>
    <col min="14093" max="14093" width="11.796875" style="172" customWidth="1"/>
    <col min="14094" max="14094" width="9.69921875" style="172" customWidth="1"/>
    <col min="14095" max="14336" width="10.69921875" style="172"/>
    <col min="14337" max="14337" width="9" style="172" customWidth="1"/>
    <col min="14338" max="14338" width="6.296875" style="172" customWidth="1"/>
    <col min="14339" max="14339" width="33.5" style="172" bestFit="1" customWidth="1"/>
    <col min="14340" max="14340" width="45.5" style="172" bestFit="1" customWidth="1"/>
    <col min="14341" max="14341" width="8.796875" style="172" customWidth="1"/>
    <col min="14342" max="14342" width="47.19921875" style="172" customWidth="1"/>
    <col min="14343" max="14343" width="10.19921875" style="172" customWidth="1"/>
    <col min="14344" max="14344" width="41.796875" style="172" customWidth="1"/>
    <col min="14345" max="14345" width="11.19921875" style="172" customWidth="1"/>
    <col min="14346" max="14346" width="10.5" style="172" customWidth="1"/>
    <col min="14347" max="14347" width="16" style="172" bestFit="1" customWidth="1"/>
    <col min="14348" max="14348" width="13.19921875" style="172" customWidth="1"/>
    <col min="14349" max="14349" width="11.796875" style="172" customWidth="1"/>
    <col min="14350" max="14350" width="9.69921875" style="172" customWidth="1"/>
    <col min="14351" max="14592" width="10.69921875" style="172"/>
    <col min="14593" max="14593" width="9" style="172" customWidth="1"/>
    <col min="14594" max="14594" width="6.296875" style="172" customWidth="1"/>
    <col min="14595" max="14595" width="33.5" style="172" bestFit="1" customWidth="1"/>
    <col min="14596" max="14596" width="45.5" style="172" bestFit="1" customWidth="1"/>
    <col min="14597" max="14597" width="8.796875" style="172" customWidth="1"/>
    <col min="14598" max="14598" width="47.19921875" style="172" customWidth="1"/>
    <col min="14599" max="14599" width="10.19921875" style="172" customWidth="1"/>
    <col min="14600" max="14600" width="41.796875" style="172" customWidth="1"/>
    <col min="14601" max="14601" width="11.19921875" style="172" customWidth="1"/>
    <col min="14602" max="14602" width="10.5" style="172" customWidth="1"/>
    <col min="14603" max="14603" width="16" style="172" bestFit="1" customWidth="1"/>
    <col min="14604" max="14604" width="13.19921875" style="172" customWidth="1"/>
    <col min="14605" max="14605" width="11.796875" style="172" customWidth="1"/>
    <col min="14606" max="14606" width="9.69921875" style="172" customWidth="1"/>
    <col min="14607" max="14848" width="10.69921875" style="172"/>
    <col min="14849" max="14849" width="9" style="172" customWidth="1"/>
    <col min="14850" max="14850" width="6.296875" style="172" customWidth="1"/>
    <col min="14851" max="14851" width="33.5" style="172" bestFit="1" customWidth="1"/>
    <col min="14852" max="14852" width="45.5" style="172" bestFit="1" customWidth="1"/>
    <col min="14853" max="14853" width="8.796875" style="172" customWidth="1"/>
    <col min="14854" max="14854" width="47.19921875" style="172" customWidth="1"/>
    <col min="14855" max="14855" width="10.19921875" style="172" customWidth="1"/>
    <col min="14856" max="14856" width="41.796875" style="172" customWidth="1"/>
    <col min="14857" max="14857" width="11.19921875" style="172" customWidth="1"/>
    <col min="14858" max="14858" width="10.5" style="172" customWidth="1"/>
    <col min="14859" max="14859" width="16" style="172" bestFit="1" customWidth="1"/>
    <col min="14860" max="14860" width="13.19921875" style="172" customWidth="1"/>
    <col min="14861" max="14861" width="11.796875" style="172" customWidth="1"/>
    <col min="14862" max="14862" width="9.69921875" style="172" customWidth="1"/>
    <col min="14863" max="15104" width="10.69921875" style="172"/>
    <col min="15105" max="15105" width="9" style="172" customWidth="1"/>
    <col min="15106" max="15106" width="6.296875" style="172" customWidth="1"/>
    <col min="15107" max="15107" width="33.5" style="172" bestFit="1" customWidth="1"/>
    <col min="15108" max="15108" width="45.5" style="172" bestFit="1" customWidth="1"/>
    <col min="15109" max="15109" width="8.796875" style="172" customWidth="1"/>
    <col min="15110" max="15110" width="47.19921875" style="172" customWidth="1"/>
    <col min="15111" max="15111" width="10.19921875" style="172" customWidth="1"/>
    <col min="15112" max="15112" width="41.796875" style="172" customWidth="1"/>
    <col min="15113" max="15113" width="11.19921875" style="172" customWidth="1"/>
    <col min="15114" max="15114" width="10.5" style="172" customWidth="1"/>
    <col min="15115" max="15115" width="16" style="172" bestFit="1" customWidth="1"/>
    <col min="15116" max="15116" width="13.19921875" style="172" customWidth="1"/>
    <col min="15117" max="15117" width="11.796875" style="172" customWidth="1"/>
    <col min="15118" max="15118" width="9.69921875" style="172" customWidth="1"/>
    <col min="15119" max="15360" width="10.69921875" style="172"/>
    <col min="15361" max="15361" width="9" style="172" customWidth="1"/>
    <col min="15362" max="15362" width="6.296875" style="172" customWidth="1"/>
    <col min="15363" max="15363" width="33.5" style="172" bestFit="1" customWidth="1"/>
    <col min="15364" max="15364" width="45.5" style="172" bestFit="1" customWidth="1"/>
    <col min="15365" max="15365" width="8.796875" style="172" customWidth="1"/>
    <col min="15366" max="15366" width="47.19921875" style="172" customWidth="1"/>
    <col min="15367" max="15367" width="10.19921875" style="172" customWidth="1"/>
    <col min="15368" max="15368" width="41.796875" style="172" customWidth="1"/>
    <col min="15369" max="15369" width="11.19921875" style="172" customWidth="1"/>
    <col min="15370" max="15370" width="10.5" style="172" customWidth="1"/>
    <col min="15371" max="15371" width="16" style="172" bestFit="1" customWidth="1"/>
    <col min="15372" max="15372" width="13.19921875" style="172" customWidth="1"/>
    <col min="15373" max="15373" width="11.796875" style="172" customWidth="1"/>
    <col min="15374" max="15374" width="9.69921875" style="172" customWidth="1"/>
    <col min="15375" max="15616" width="10.69921875" style="172"/>
    <col min="15617" max="15617" width="9" style="172" customWidth="1"/>
    <col min="15618" max="15618" width="6.296875" style="172" customWidth="1"/>
    <col min="15619" max="15619" width="33.5" style="172" bestFit="1" customWidth="1"/>
    <col min="15620" max="15620" width="45.5" style="172" bestFit="1" customWidth="1"/>
    <col min="15621" max="15621" width="8.796875" style="172" customWidth="1"/>
    <col min="15622" max="15622" width="47.19921875" style="172" customWidth="1"/>
    <col min="15623" max="15623" width="10.19921875" style="172" customWidth="1"/>
    <col min="15624" max="15624" width="41.796875" style="172" customWidth="1"/>
    <col min="15625" max="15625" width="11.19921875" style="172" customWidth="1"/>
    <col min="15626" max="15626" width="10.5" style="172" customWidth="1"/>
    <col min="15627" max="15627" width="16" style="172" bestFit="1" customWidth="1"/>
    <col min="15628" max="15628" width="13.19921875" style="172" customWidth="1"/>
    <col min="15629" max="15629" width="11.796875" style="172" customWidth="1"/>
    <col min="15630" max="15630" width="9.69921875" style="172" customWidth="1"/>
    <col min="15631" max="15872" width="10.69921875" style="172"/>
    <col min="15873" max="15873" width="9" style="172" customWidth="1"/>
    <col min="15874" max="15874" width="6.296875" style="172" customWidth="1"/>
    <col min="15875" max="15875" width="33.5" style="172" bestFit="1" customWidth="1"/>
    <col min="15876" max="15876" width="45.5" style="172" bestFit="1" customWidth="1"/>
    <col min="15877" max="15877" width="8.796875" style="172" customWidth="1"/>
    <col min="15878" max="15878" width="47.19921875" style="172" customWidth="1"/>
    <col min="15879" max="15879" width="10.19921875" style="172" customWidth="1"/>
    <col min="15880" max="15880" width="41.796875" style="172" customWidth="1"/>
    <col min="15881" max="15881" width="11.19921875" style="172" customWidth="1"/>
    <col min="15882" max="15882" width="10.5" style="172" customWidth="1"/>
    <col min="15883" max="15883" width="16" style="172" bestFit="1" customWidth="1"/>
    <col min="15884" max="15884" width="13.19921875" style="172" customWidth="1"/>
    <col min="15885" max="15885" width="11.796875" style="172" customWidth="1"/>
    <col min="15886" max="15886" width="9.69921875" style="172" customWidth="1"/>
    <col min="15887" max="16128" width="10.69921875" style="172"/>
    <col min="16129" max="16129" width="9" style="172" customWidth="1"/>
    <col min="16130" max="16130" width="6.296875" style="172" customWidth="1"/>
    <col min="16131" max="16131" width="33.5" style="172" bestFit="1" customWidth="1"/>
    <col min="16132" max="16132" width="45.5" style="172" bestFit="1" customWidth="1"/>
    <col min="16133" max="16133" width="8.796875" style="172" customWidth="1"/>
    <col min="16134" max="16134" width="47.19921875" style="172" customWidth="1"/>
    <col min="16135" max="16135" width="10.19921875" style="172" customWidth="1"/>
    <col min="16136" max="16136" width="41.796875" style="172" customWidth="1"/>
    <col min="16137" max="16137" width="11.19921875" style="172" customWidth="1"/>
    <col min="16138" max="16138" width="10.5" style="172" customWidth="1"/>
    <col min="16139" max="16139" width="16" style="172" bestFit="1" customWidth="1"/>
    <col min="16140" max="16140" width="13.19921875" style="172" customWidth="1"/>
    <col min="16141" max="16141" width="11.796875" style="172" customWidth="1"/>
    <col min="16142" max="16142" width="9.69921875" style="172" customWidth="1"/>
    <col min="16143" max="16384" width="10.69921875" style="172"/>
  </cols>
  <sheetData>
    <row r="1" spans="1:27" ht="14.25" customHeight="1" x14ac:dyDescent="0.35">
      <c r="A1" s="171"/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200"/>
      <c r="U1" s="200"/>
      <c r="V1" s="200"/>
      <c r="W1" s="200"/>
      <c r="X1" s="200"/>
    </row>
    <row r="2" spans="1:27" ht="14.25" customHeight="1" x14ac:dyDescent="0.35">
      <c r="A2" s="173" t="s">
        <v>559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201"/>
      <c r="U2" s="201"/>
      <c r="V2" s="201"/>
      <c r="W2" s="201"/>
      <c r="X2" s="201"/>
    </row>
    <row r="3" spans="1:27" ht="14.25" customHeight="1" x14ac:dyDescent="0.35">
      <c r="A3" s="171"/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200"/>
      <c r="U3" s="200"/>
      <c r="V3" s="200"/>
      <c r="W3" s="200"/>
      <c r="X3" s="200"/>
    </row>
    <row r="4" spans="1:27" ht="15.5" x14ac:dyDescent="0.35">
      <c r="A4" s="174" t="s">
        <v>43</v>
      </c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5"/>
      <c r="M4" s="175"/>
      <c r="N4" s="174" t="s">
        <v>1</v>
      </c>
      <c r="P4" s="199"/>
      <c r="Q4" s="199"/>
      <c r="R4" s="199"/>
      <c r="S4" s="202" t="s">
        <v>166</v>
      </c>
      <c r="U4" s="199"/>
      <c r="V4" s="199"/>
      <c r="W4" s="199"/>
      <c r="X4" s="199"/>
    </row>
    <row r="5" spans="1:27" x14ac:dyDescent="0.35">
      <c r="A5" s="176" t="s">
        <v>190</v>
      </c>
      <c r="B5" s="176" t="s">
        <v>191</v>
      </c>
      <c r="C5" s="176" t="s">
        <v>192</v>
      </c>
      <c r="D5" s="176" t="s">
        <v>193</v>
      </c>
      <c r="E5" s="176" t="s">
        <v>194</v>
      </c>
      <c r="F5" s="176" t="s">
        <v>227</v>
      </c>
      <c r="G5" s="176" t="s">
        <v>196</v>
      </c>
      <c r="H5" s="176" t="s">
        <v>197</v>
      </c>
      <c r="I5" s="176" t="s">
        <v>198</v>
      </c>
      <c r="J5" s="176" t="s">
        <v>2</v>
      </c>
      <c r="K5" s="177" t="s">
        <v>199</v>
      </c>
      <c r="L5" s="178" t="s">
        <v>214</v>
      </c>
      <c r="M5" s="178" t="s">
        <v>217</v>
      </c>
      <c r="N5" s="178" t="s">
        <v>254</v>
      </c>
      <c r="O5" s="178" t="s">
        <v>218</v>
      </c>
      <c r="P5" s="178" t="s">
        <v>219</v>
      </c>
      <c r="Q5" s="198" t="s">
        <v>228</v>
      </c>
      <c r="R5" s="198" t="s">
        <v>229</v>
      </c>
      <c r="S5" s="198" t="s">
        <v>255</v>
      </c>
      <c r="T5" s="198" t="s">
        <v>230</v>
      </c>
      <c r="U5" s="198" t="s">
        <v>231</v>
      </c>
      <c r="W5" s="172" t="s">
        <v>354</v>
      </c>
    </row>
    <row r="6" spans="1:27" x14ac:dyDescent="0.35">
      <c r="A6" s="186">
        <v>1</v>
      </c>
      <c r="B6" s="176">
        <v>1</v>
      </c>
      <c r="C6" s="280" t="s">
        <v>361</v>
      </c>
      <c r="D6" s="179" t="s">
        <v>364</v>
      </c>
      <c r="E6" s="179" t="s">
        <v>168</v>
      </c>
      <c r="F6" s="179" t="s">
        <v>412</v>
      </c>
      <c r="G6" s="179" t="s">
        <v>405</v>
      </c>
      <c r="H6" s="179" t="s">
        <v>413</v>
      </c>
      <c r="I6" s="180" t="s">
        <v>200</v>
      </c>
      <c r="J6" s="180">
        <v>1</v>
      </c>
      <c r="K6" s="181"/>
      <c r="L6" s="183">
        <f>IF(AND(E6="M",Tabla1561217[[#This Row],[POS]]&lt;&gt;"AB",Tabla1561217[[#This Row],[POS]]&lt;&gt;"DSQ"),COUNTIF($E$6:E6,"M"),"")</f>
        <v>1</v>
      </c>
      <c r="M6" s="183">
        <f>IF(E6="M",IF(Tabla1561217[[#This Row],[Tiempo]]="AB","",LOOKUP(Tabla1561217[[#This Row],[CLAS SCRATCH]],'Datos puntos'!$A$2:$A$23,'Datos puntos'!$B$2:$B$23)),"")</f>
        <v>25</v>
      </c>
      <c r="N6" s="183">
        <f>IF(AND(E6="M",Tabla1561217[[#This Row],[POS]]&lt;&gt;"AB",Tabla1561217[[#This Row],[POS]]&lt;&gt;"DSQ"),COUNTIFS($J$6:J6,Tabla1561217[[#This Row],[Clase]],$E$6:E6,"M"),"")</f>
        <v>1</v>
      </c>
      <c r="O6" s="183">
        <f>IF(E6="M",IF(Tabla1561217[[#This Row],[Tiempo]]="AB","",LOOKUP(Tabla1561217[[#This Row],[CLAS CLASE]],'Datos puntos'!$A$25:$A$53,'Datos puntos'!$B$25:$B$53)),"")</f>
        <v>10</v>
      </c>
      <c r="P6" s="183">
        <f>IF(Tabla1561217[[#This Row],[Puntos scratch]]="","NO PUNTÚA",SUM(Tabla1561217[[#This Row],[Puntos scratch]],Tabla1561217[[#This Row],[Puntos clase]])*2)</f>
        <v>70</v>
      </c>
      <c r="Q6" s="183" t="str">
        <f>IF(AND(G6="M",Tabla1561217[[#This Row],[POS]]&lt;&gt;"AB",Tabla1561217[[#This Row],[POS]]&lt;&gt;"DSQ"),COUNTIF($G$6:G6,"M"),"")</f>
        <v/>
      </c>
      <c r="R6" s="183" t="str">
        <f>IF(G6="M",IF(Tabla1561217[[#This Row],[Tiempo]]="AB","",LOOKUP(Tabla1561217[[#This Row],[CLAS SCRATCH2]],'Datos puntos'!$A$2:$A$23,'Datos puntos'!$B$2:$B$23)),"")</f>
        <v/>
      </c>
      <c r="S6" s="183" t="str">
        <f>IF(AND(G6="M",Tabla1561217[[#This Row],[POS]]&lt;&gt;"AB",Tabla1561217[[#This Row],[POS]]&lt;&gt;"DSQ"),COUNTIFS($J$6:J6,Tabla1561217[[#This Row],[Clase]],$G$6:G6,"M"),"")</f>
        <v/>
      </c>
      <c r="T6" s="183" t="str">
        <f>IF(G6="M",IF(Tabla1561217[[#This Row],[Tiempo]]="AB","",LOOKUP(Tabla1561217[[#This Row],[CLAS CLASE2]],'Datos puntos'!$A$25:$A$53,'Datos puntos'!$B$25:$B$53)),"")</f>
        <v/>
      </c>
      <c r="U6" s="183" t="str">
        <f>IF(Tabla1561217[[#This Row],[Puntos scratch3]]="","NO PUNTÚA",SUM(Tabla1561217[[#This Row],[Puntos scratch3]],Tabla1561217[[#This Row],[Puntos clase5]])*2)</f>
        <v>NO PUNTÚA</v>
      </c>
      <c r="W6" s="241">
        <v>20</v>
      </c>
      <c r="X6" s="250" t="s">
        <v>175</v>
      </c>
      <c r="Z6" s="252" t="s">
        <v>232</v>
      </c>
      <c r="AA6" s="185">
        <v>26</v>
      </c>
    </row>
    <row r="7" spans="1:27" s="185" customFormat="1" x14ac:dyDescent="0.35">
      <c r="A7" s="176">
        <v>2</v>
      </c>
      <c r="B7" s="176">
        <v>5</v>
      </c>
      <c r="C7" s="179" t="s">
        <v>175</v>
      </c>
      <c r="D7" s="179" t="s">
        <v>285</v>
      </c>
      <c r="E7" s="179" t="s">
        <v>168</v>
      </c>
      <c r="F7" s="179" t="s">
        <v>277</v>
      </c>
      <c r="G7" s="179" t="s">
        <v>168</v>
      </c>
      <c r="H7" s="179" t="s">
        <v>414</v>
      </c>
      <c r="I7" s="180" t="s">
        <v>200</v>
      </c>
      <c r="J7" s="180">
        <v>1</v>
      </c>
      <c r="K7" s="181"/>
      <c r="L7" s="183">
        <f>IF(AND(E7="M",Tabla1561217[[#This Row],[POS]]&lt;&gt;"AB",Tabla1561217[[#This Row],[POS]]&lt;&gt;"DSQ"),COUNTIF($E$6:E7,"M"),"")</f>
        <v>2</v>
      </c>
      <c r="M7" s="183">
        <f>IF(E7="M",IF(Tabla1561217[[#This Row],[Tiempo]]="AB","",LOOKUP(Tabla1561217[[#This Row],[CLAS SCRATCH]],'Datos puntos'!$A$2:$A$23,'Datos puntos'!$B$2:$B$23)),"")</f>
        <v>20</v>
      </c>
      <c r="N7" s="183">
        <f>IF(AND(E7="M",Tabla1561217[[#This Row],[POS]]&lt;&gt;"AB",Tabla1561217[[#This Row],[POS]]&lt;&gt;"DSQ"),COUNTIFS($J$6:J7,Tabla1561217[[#This Row],[Clase]],$E$6:E7,"M"),"")</f>
        <v>2</v>
      </c>
      <c r="O7" s="183">
        <f>IF(E7="M",IF(Tabla1561217[[#This Row],[Tiempo]]="AB","",LOOKUP(Tabla1561217[[#This Row],[CLAS CLASE]],'Datos puntos'!$A$25:$A$53,'Datos puntos'!$B$25:$B$53)),"")</f>
        <v>8</v>
      </c>
      <c r="P7" s="183">
        <f>IF(Tabla1561217[[#This Row],[Puntos scratch]]="","NO PUNTÚA",SUM(Tabla1561217[[#This Row],[Puntos scratch]],Tabla1561217[[#This Row],[Puntos clase]])*2)</f>
        <v>56</v>
      </c>
      <c r="Q7" s="183">
        <f>IF(AND(G7="M",Tabla1561217[[#This Row],[POS]]&lt;&gt;"AB",Tabla1561217[[#This Row],[POS]]&lt;&gt;"DSQ"),COUNTIF($G$6:G7,"M"),"")</f>
        <v>1</v>
      </c>
      <c r="R7" s="183">
        <f>IF(G7="M",IF(Tabla1561217[[#This Row],[Tiempo]]="AB","",LOOKUP(Tabla1561217[[#This Row],[CLAS SCRATCH2]],'Datos puntos'!$A$2:$A$23,'Datos puntos'!$B$2:$B$23)),"")</f>
        <v>25</v>
      </c>
      <c r="S7" s="183">
        <f>IF(AND(G7="M",Tabla1561217[[#This Row],[POS]]&lt;&gt;"AB",Tabla1561217[[#This Row],[POS]]&lt;&gt;"DSQ"),COUNTIFS($J$6:J7,Tabla1561217[[#This Row],[Clase]],$G$6:G7,"M"),"")</f>
        <v>1</v>
      </c>
      <c r="T7" s="183">
        <f>IF(G7="M",IF(Tabla1561217[[#This Row],[Tiempo]]="AB","",LOOKUP(Tabla1561217[[#This Row],[CLAS CLASE2]],'Datos puntos'!$A$25:$A$53,'Datos puntos'!$B$25:$B$53)),"")</f>
        <v>10</v>
      </c>
      <c r="U7" s="183">
        <f>IF(Tabla1561217[[#This Row],[Puntos scratch3]]="","NO PUNTÚA",SUM(Tabla1561217[[#This Row],[Puntos scratch3]],Tabla1561217[[#This Row],[Puntos clase5]])*2)</f>
        <v>70</v>
      </c>
      <c r="W7" s="241">
        <v>17</v>
      </c>
      <c r="X7" s="286" t="s">
        <v>189</v>
      </c>
      <c r="Z7" s="250" t="s">
        <v>175</v>
      </c>
      <c r="AA7" s="172">
        <v>20</v>
      </c>
    </row>
    <row r="8" spans="1:27" x14ac:dyDescent="0.35">
      <c r="A8" s="176">
        <v>3</v>
      </c>
      <c r="B8" s="176">
        <v>4</v>
      </c>
      <c r="C8" s="268" t="s">
        <v>189</v>
      </c>
      <c r="D8" s="179" t="s">
        <v>238</v>
      </c>
      <c r="E8" s="179" t="s">
        <v>168</v>
      </c>
      <c r="F8" s="179" t="s">
        <v>384</v>
      </c>
      <c r="G8" s="179" t="s">
        <v>168</v>
      </c>
      <c r="H8" s="179" t="s">
        <v>382</v>
      </c>
      <c r="I8" s="180" t="s">
        <v>200</v>
      </c>
      <c r="J8" s="180">
        <v>1</v>
      </c>
      <c r="K8" s="181"/>
      <c r="L8" s="183">
        <f>IF(AND(E8="M",Tabla1561217[[#This Row],[POS]]&lt;&gt;"AB",Tabla1561217[[#This Row],[POS]]&lt;&gt;"DSQ"),COUNTIF($E$6:E8,"M"),"")</f>
        <v>3</v>
      </c>
      <c r="M8" s="183">
        <f>IF(E8="M",IF(Tabla1561217[[#This Row],[Tiempo]]="AB","",LOOKUP(Tabla1561217[[#This Row],[CLAS SCRATCH]],'Datos puntos'!$A$2:$A$23,'Datos puntos'!$B$2:$B$23)),"")</f>
        <v>17</v>
      </c>
      <c r="N8" s="183">
        <f>IF(AND(E8="M",Tabla1561217[[#This Row],[POS]]&lt;&gt;"AB",Tabla1561217[[#This Row],[POS]]&lt;&gt;"DSQ"),COUNTIFS($J$6:J8,Tabla1561217[[#This Row],[Clase]],$E$6:E8,"M"),"")</f>
        <v>3</v>
      </c>
      <c r="O8" s="183">
        <f>IF(E8="M",IF(Tabla1561217[[#This Row],[Tiempo]]="AB","",LOOKUP(Tabla1561217[[#This Row],[CLAS CLASE]],'Datos puntos'!$A$25:$A$53,'Datos puntos'!$B$25:$B$53)),"")</f>
        <v>6</v>
      </c>
      <c r="P8" s="183">
        <f>IF(Tabla1561217[[#This Row],[Puntos scratch]]="","NO PUNTÚA",SUM(Tabla1561217[[#This Row],[Puntos scratch]],Tabla1561217[[#This Row],[Puntos clase]])*2)</f>
        <v>46</v>
      </c>
      <c r="Q8" s="183">
        <f>IF(AND(G8="M",Tabla1561217[[#This Row],[POS]]&lt;&gt;"AB",Tabla1561217[[#This Row],[POS]]&lt;&gt;"DSQ"),COUNTIF($G$6:G8,"M"),"")</f>
        <v>2</v>
      </c>
      <c r="R8" s="183">
        <f>IF(G8="M",IF(Tabla1561217[[#This Row],[Tiempo]]="AB","",LOOKUP(Tabla1561217[[#This Row],[CLAS SCRATCH2]],'Datos puntos'!$A$2:$A$23,'Datos puntos'!$B$2:$B$23)),"")</f>
        <v>20</v>
      </c>
      <c r="S8" s="183">
        <f>IF(AND(G8="M",Tabla1561217[[#This Row],[POS]]&lt;&gt;"AB",Tabla1561217[[#This Row],[POS]]&lt;&gt;"DSQ"),COUNTIFS($J$6:J8,Tabla1561217[[#This Row],[Clase]],$G$6:G8,"M"),"")</f>
        <v>2</v>
      </c>
      <c r="T8" s="183">
        <f>IF(G8="M",IF(Tabla1561217[[#This Row],[Tiempo]]="AB","",LOOKUP(Tabla1561217[[#This Row],[CLAS CLASE2]],'Datos puntos'!$A$25:$A$53,'Datos puntos'!$B$25:$B$53)),"")</f>
        <v>8</v>
      </c>
      <c r="U8" s="183">
        <f>IF(Tabla1561217[[#This Row],[Puntos scratch3]]="","NO PUNTÚA",SUM(Tabla1561217[[#This Row],[Puntos scratch3]],Tabla1561217[[#This Row],[Puntos clase5]])*2)</f>
        <v>56</v>
      </c>
      <c r="W8" s="241">
        <v>14</v>
      </c>
      <c r="X8" s="287" t="s">
        <v>171</v>
      </c>
      <c r="Z8" s="287" t="s">
        <v>171</v>
      </c>
      <c r="AA8" s="172">
        <v>14</v>
      </c>
    </row>
    <row r="9" spans="1:27" x14ac:dyDescent="0.35">
      <c r="A9" s="176">
        <v>4</v>
      </c>
      <c r="B9" s="176">
        <v>3</v>
      </c>
      <c r="C9" s="268" t="s">
        <v>171</v>
      </c>
      <c r="D9" s="179" t="s">
        <v>234</v>
      </c>
      <c r="E9" s="179" t="s">
        <v>168</v>
      </c>
      <c r="F9" s="179" t="s">
        <v>235</v>
      </c>
      <c r="G9" s="179" t="s">
        <v>168</v>
      </c>
      <c r="H9" s="179" t="s">
        <v>381</v>
      </c>
      <c r="I9" s="180" t="s">
        <v>200</v>
      </c>
      <c r="J9" s="180">
        <v>1</v>
      </c>
      <c r="K9" s="181"/>
      <c r="L9" s="183">
        <f>IF(AND(E9="M",Tabla1561217[[#This Row],[POS]]&lt;&gt;"AB",Tabla1561217[[#This Row],[POS]]&lt;&gt;"DSQ"),COUNTIF($E$6:E9,"M"),"")</f>
        <v>4</v>
      </c>
      <c r="M9" s="183">
        <f>IF(E9="M",IF(Tabla1561217[[#This Row],[Tiempo]]="AB","",LOOKUP(Tabla1561217[[#This Row],[CLAS SCRATCH]],'Datos puntos'!$A$2:$A$23,'Datos puntos'!$B$2:$B$23)),"")</f>
        <v>15</v>
      </c>
      <c r="N9" s="183">
        <f>IF(AND(E9="M",Tabla1561217[[#This Row],[POS]]&lt;&gt;"AB",Tabla1561217[[#This Row],[POS]]&lt;&gt;"DSQ"),COUNTIFS($J$6:J9,Tabla1561217[[#This Row],[Clase]],$E$6:E9,"M"),"")</f>
        <v>4</v>
      </c>
      <c r="O9" s="183">
        <f>IF(E9="M",IF(Tabla1561217[[#This Row],[Tiempo]]="AB","",LOOKUP(Tabla1561217[[#This Row],[CLAS CLASE]],'Datos puntos'!$A$25:$A$53,'Datos puntos'!$B$25:$B$53)),"")</f>
        <v>5</v>
      </c>
      <c r="P9" s="183">
        <f>IF(Tabla1561217[[#This Row],[Puntos scratch]]="","NO PUNTÚA",SUM(Tabla1561217[[#This Row],[Puntos scratch]],Tabla1561217[[#This Row],[Puntos clase]])*2)</f>
        <v>40</v>
      </c>
      <c r="Q9" s="183">
        <f>IF(AND(G9="M",Tabla1561217[[#This Row],[POS]]&lt;&gt;"AB",Tabla1561217[[#This Row],[POS]]&lt;&gt;"DSQ"),COUNTIF($G$6:G9,"M"),"")</f>
        <v>3</v>
      </c>
      <c r="R9" s="183">
        <f>IF(G9="M",IF(Tabla1561217[[#This Row],[Tiempo]]="AB","",LOOKUP(Tabla1561217[[#This Row],[CLAS SCRATCH2]],'Datos puntos'!$A$2:$A$23,'Datos puntos'!$B$2:$B$23)),"")</f>
        <v>17</v>
      </c>
      <c r="S9" s="183">
        <f>IF(AND(G9="M",Tabla1561217[[#This Row],[POS]]&lt;&gt;"AB",Tabla1561217[[#This Row],[POS]]&lt;&gt;"DSQ"),COUNTIFS($J$6:J9,Tabla1561217[[#This Row],[Clase]],$G$6:G9,"M"),"")</f>
        <v>3</v>
      </c>
      <c r="T9" s="183">
        <f>IF(G9="M",IF(Tabla1561217[[#This Row],[Tiempo]]="AB","",LOOKUP(Tabla1561217[[#This Row],[CLAS CLASE2]],'Datos puntos'!$A$25:$A$53,'Datos puntos'!$B$25:$B$53)),"")</f>
        <v>6</v>
      </c>
      <c r="U9" s="183">
        <f>IF(Tabla1561217[[#This Row],[Puntos scratch3]]="","NO PUNTÚA",SUM(Tabla1561217[[#This Row],[Puntos scratch3]],Tabla1561217[[#This Row],[Puntos clase5]])*2)</f>
        <v>46</v>
      </c>
      <c r="W9" s="241">
        <v>12</v>
      </c>
      <c r="X9" s="288" t="s">
        <v>232</v>
      </c>
      <c r="Z9" s="253" t="s">
        <v>172</v>
      </c>
      <c r="AA9" s="172">
        <v>10</v>
      </c>
    </row>
    <row r="10" spans="1:27" x14ac:dyDescent="0.35">
      <c r="A10" s="176">
        <v>5</v>
      </c>
      <c r="B10" s="176">
        <v>8</v>
      </c>
      <c r="C10" s="268" t="s">
        <v>232</v>
      </c>
      <c r="D10" s="179" t="s">
        <v>226</v>
      </c>
      <c r="E10" s="179" t="s">
        <v>168</v>
      </c>
      <c r="F10" s="179" t="s">
        <v>237</v>
      </c>
      <c r="G10" s="179" t="s">
        <v>168</v>
      </c>
      <c r="H10" s="179" t="s">
        <v>170</v>
      </c>
      <c r="I10" s="180" t="s">
        <v>24</v>
      </c>
      <c r="J10" s="180">
        <v>2</v>
      </c>
      <c r="K10" s="181"/>
      <c r="L10" s="183">
        <f>IF(AND(E10="M",Tabla1561217[[#This Row],[POS]]&lt;&gt;"AB",Tabla1561217[[#This Row],[POS]]&lt;&gt;"DSQ"),COUNTIF($E$6:E10,"M"),"")</f>
        <v>5</v>
      </c>
      <c r="M10" s="183">
        <f>IF(E10="M",IF(Tabla1561217[[#This Row],[Tiempo]]="AB","",LOOKUP(Tabla1561217[[#This Row],[CLAS SCRATCH]],'Datos puntos'!$A$2:$A$23,'Datos puntos'!$B$2:$B$23)),"")</f>
        <v>12</v>
      </c>
      <c r="N10" s="183">
        <f>IF(AND(E10="M",Tabla1561217[[#This Row],[POS]]&lt;&gt;"AB",Tabla1561217[[#This Row],[POS]]&lt;&gt;"DSQ"),COUNTIFS($J$6:J10,Tabla1561217[[#This Row],[Clase]],$E$6:E10,"M"),"")</f>
        <v>1</v>
      </c>
      <c r="O10" s="183">
        <f>IF(E10="M",IF(Tabla1561217[[#This Row],[Tiempo]]="AB","",LOOKUP(Tabla1561217[[#This Row],[CLAS CLASE]],'Datos puntos'!$A$25:$A$53,'Datos puntos'!$B$25:$B$53)),"")</f>
        <v>10</v>
      </c>
      <c r="P10" s="183">
        <f>IF(Tabla1561217[[#This Row],[Puntos scratch]]="","NO PUNTÚA",SUM(Tabla1561217[[#This Row],[Puntos scratch]],Tabla1561217[[#This Row],[Puntos clase]])*2)</f>
        <v>44</v>
      </c>
      <c r="Q10" s="183">
        <f>IF(AND(G10="M",Tabla1561217[[#This Row],[POS]]&lt;&gt;"AB",Tabla1561217[[#This Row],[POS]]&lt;&gt;"DSQ"),COUNTIF($G$6:G10,"M"),"")</f>
        <v>4</v>
      </c>
      <c r="R10" s="183">
        <f>IF(G10="M",IF(Tabla1561217[[#This Row],[Tiempo]]="AB","",LOOKUP(Tabla1561217[[#This Row],[CLAS SCRATCH2]],'Datos puntos'!$A$2:$A$23,'Datos puntos'!$B$2:$B$23)),"")</f>
        <v>15</v>
      </c>
      <c r="S10" s="183">
        <f>IF(AND(G10="M",Tabla1561217[[#This Row],[POS]]&lt;&gt;"AB",Tabla1561217[[#This Row],[POS]]&lt;&gt;"DSQ"),COUNTIFS($J$6:J10,Tabla1561217[[#This Row],[Clase]],$G$6:G10,"M"),"")</f>
        <v>1</v>
      </c>
      <c r="T10" s="183">
        <f>IF(G10="M",IF(Tabla1561217[[#This Row],[Tiempo]]="AB","",LOOKUP(Tabla1561217[[#This Row],[CLAS CLASE2]],'Datos puntos'!$A$25:$A$53,'Datos puntos'!$B$25:$B$53)),"")</f>
        <v>10</v>
      </c>
      <c r="U10" s="183">
        <f>IF(Tabla1561217[[#This Row],[Puntos scratch3]]="","NO PUNTÚA",SUM(Tabla1561217[[#This Row],[Puntos scratch3]],Tabla1561217[[#This Row],[Puntos clase5]])*2)</f>
        <v>50</v>
      </c>
      <c r="W10" s="241">
        <v>10</v>
      </c>
      <c r="X10" s="252" t="s">
        <v>232</v>
      </c>
      <c r="Z10" s="286" t="s">
        <v>189</v>
      </c>
      <c r="AA10" s="172">
        <v>31</v>
      </c>
    </row>
    <row r="11" spans="1:27" x14ac:dyDescent="0.35">
      <c r="A11" s="176">
        <v>6</v>
      </c>
      <c r="B11" s="176">
        <v>7</v>
      </c>
      <c r="C11" s="268" t="s">
        <v>232</v>
      </c>
      <c r="D11" s="179" t="s">
        <v>295</v>
      </c>
      <c r="E11" s="179" t="s">
        <v>168</v>
      </c>
      <c r="F11" s="179" t="s">
        <v>240</v>
      </c>
      <c r="G11" s="179" t="s">
        <v>168</v>
      </c>
      <c r="H11" s="179" t="s">
        <v>170</v>
      </c>
      <c r="I11" s="180" t="s">
        <v>24</v>
      </c>
      <c r="J11" s="180">
        <v>2</v>
      </c>
      <c r="K11" s="181"/>
      <c r="L11" s="183">
        <f>IF(AND(E11="M",Tabla1561217[[#This Row],[POS]]&lt;&gt;"AB",Tabla1561217[[#This Row],[POS]]&lt;&gt;"DSQ"),COUNTIF($E$6:E11,"M"),"")</f>
        <v>6</v>
      </c>
      <c r="M11" s="183">
        <f>IF(E11="M",IF(Tabla1561217[[#This Row],[Tiempo]]="AB","",LOOKUP(Tabla1561217[[#This Row],[CLAS SCRATCH]],'Datos puntos'!$A$2:$A$23,'Datos puntos'!$B$2:$B$23)),"")</f>
        <v>10</v>
      </c>
      <c r="N11" s="183">
        <f>IF(AND(E11="M",Tabla1561217[[#This Row],[POS]]&lt;&gt;"AB",Tabla1561217[[#This Row],[POS]]&lt;&gt;"DSQ"),COUNTIFS($J$6:J11,Tabla1561217[[#This Row],[Clase]],$E$6:E11,"M"),"")</f>
        <v>2</v>
      </c>
      <c r="O11" s="183">
        <f>IF(E11="M",IF(Tabla1561217[[#This Row],[Tiempo]]="AB","",LOOKUP(Tabla1561217[[#This Row],[CLAS CLASE]],'Datos puntos'!$A$25:$A$53,'Datos puntos'!$B$25:$B$53)),"")</f>
        <v>8</v>
      </c>
      <c r="P11" s="183">
        <f>IF(Tabla1561217[[#This Row],[Puntos scratch]]="","NO PUNTÚA",SUM(Tabla1561217[[#This Row],[Puntos scratch]],Tabla1561217[[#This Row],[Puntos clase]])*2)</f>
        <v>36</v>
      </c>
      <c r="Q11" s="183">
        <f>IF(AND(G11="M",Tabla1561217[[#This Row],[POS]]&lt;&gt;"AB",Tabla1561217[[#This Row],[POS]]&lt;&gt;"DSQ"),COUNTIF($G$6:G11,"M"),"")</f>
        <v>5</v>
      </c>
      <c r="R11" s="183">
        <f>IF(G11="M",IF(Tabla1561217[[#This Row],[Tiempo]]="AB","",LOOKUP(Tabla1561217[[#This Row],[CLAS SCRATCH2]],'Datos puntos'!$A$2:$A$23,'Datos puntos'!$B$2:$B$23)),"")</f>
        <v>12</v>
      </c>
      <c r="S11" s="183">
        <f>IF(AND(G11="M",Tabla1561217[[#This Row],[POS]]&lt;&gt;"AB",Tabla1561217[[#This Row],[POS]]&lt;&gt;"DSQ"),COUNTIFS($J$6:J11,Tabla1561217[[#This Row],[Clase]],$G$6:G11,"M"),"")</f>
        <v>2</v>
      </c>
      <c r="T11" s="183">
        <f>IF(G11="M",IF(Tabla1561217[[#This Row],[Tiempo]]="AB","",LOOKUP(Tabla1561217[[#This Row],[CLAS CLASE2]],'Datos puntos'!$A$25:$A$53,'Datos puntos'!$B$25:$B$53)),"")</f>
        <v>8</v>
      </c>
      <c r="U11" s="183">
        <f>IF(Tabla1561217[[#This Row],[Puntos scratch3]]="","NO PUNTÚA",SUM(Tabla1561217[[#This Row],[Puntos scratch3]],Tabla1561217[[#This Row],[Puntos clase5]])*2)</f>
        <v>40</v>
      </c>
      <c r="W11" s="241">
        <v>8</v>
      </c>
      <c r="X11" s="286" t="s">
        <v>189</v>
      </c>
      <c r="Z11" s="277" t="s">
        <v>304</v>
      </c>
      <c r="AA11" s="172">
        <v>1</v>
      </c>
    </row>
    <row r="12" spans="1:27" x14ac:dyDescent="0.35">
      <c r="A12" s="176">
        <v>7</v>
      </c>
      <c r="B12" s="176">
        <v>14</v>
      </c>
      <c r="C12" s="268" t="s">
        <v>189</v>
      </c>
      <c r="D12" s="179" t="s">
        <v>249</v>
      </c>
      <c r="E12" s="179" t="s">
        <v>168</v>
      </c>
      <c r="F12" s="179" t="s">
        <v>386</v>
      </c>
      <c r="G12" s="179" t="s">
        <v>432</v>
      </c>
      <c r="H12" s="179" t="s">
        <v>239</v>
      </c>
      <c r="I12" s="180" t="s">
        <v>24</v>
      </c>
      <c r="J12" s="180">
        <v>2</v>
      </c>
      <c r="K12" s="181"/>
      <c r="L12" s="183">
        <f>IF(AND(E12="M",Tabla1561217[[#This Row],[POS]]&lt;&gt;"AB",Tabla1561217[[#This Row],[POS]]&lt;&gt;"DSQ"),COUNTIF($E$6:E12,"M"),"")</f>
        <v>7</v>
      </c>
      <c r="M12" s="183">
        <f>IF(E12="M",IF(Tabla1561217[[#This Row],[Tiempo]]="AB","",LOOKUP(Tabla1561217[[#This Row],[CLAS SCRATCH]],'Datos puntos'!$A$2:$A$23,'Datos puntos'!$B$2:$B$23)),"")</f>
        <v>8</v>
      </c>
      <c r="N12" s="183">
        <f>IF(AND(E12="M",Tabla1561217[[#This Row],[POS]]&lt;&gt;"AB",Tabla1561217[[#This Row],[POS]]&lt;&gt;"DSQ"),COUNTIFS($J$6:J12,Tabla1561217[[#This Row],[Clase]],$E$6:E12,"M"),"")</f>
        <v>3</v>
      </c>
      <c r="O12" s="183">
        <f>IF(E12="M",IF(Tabla1561217[[#This Row],[Tiempo]]="AB","",LOOKUP(Tabla1561217[[#This Row],[CLAS CLASE]],'Datos puntos'!$A$25:$A$53,'Datos puntos'!$B$25:$B$53)),"")</f>
        <v>6</v>
      </c>
      <c r="P12" s="183">
        <f>IF(Tabla1561217[[#This Row],[Puntos scratch]]="","NO PUNTÚA",SUM(Tabla1561217[[#This Row],[Puntos scratch]],Tabla1561217[[#This Row],[Puntos clase]])*2)</f>
        <v>28</v>
      </c>
      <c r="Q12" s="183" t="str">
        <f>IF(AND(G12="M",Tabla1561217[[#This Row],[POS]]&lt;&gt;"AB",Tabla1561217[[#This Row],[POS]]&lt;&gt;"DSQ"),COUNTIF($G$6:G12,"M"),"")</f>
        <v/>
      </c>
      <c r="R12" s="183" t="str">
        <f>IF(G12="M",IF(Tabla1561217[[#This Row],[Tiempo]]="AB","",LOOKUP(Tabla1561217[[#This Row],[CLAS SCRATCH2]],'Datos puntos'!$A$2:$A$23,'Datos puntos'!$B$2:$B$23)),"")</f>
        <v/>
      </c>
      <c r="S12" s="183" t="str">
        <f>IF(AND(G12="M",Tabla1561217[[#This Row],[POS]]&lt;&gt;"AB",Tabla1561217[[#This Row],[POS]]&lt;&gt;"DSQ"),COUNTIFS($J$6:J12,Tabla1561217[[#This Row],[Clase]],$G$6:G12,"M"),"")</f>
        <v/>
      </c>
      <c r="T12" s="183" t="str">
        <f>IF(G12="M",IF(Tabla1561217[[#This Row],[Tiempo]]="AB","",LOOKUP(Tabla1561217[[#This Row],[CLAS CLASE2]],'Datos puntos'!$A$25:$A$53,'Datos puntos'!$B$25:$B$53)),"")</f>
        <v/>
      </c>
      <c r="U12" s="183" t="str">
        <f>IF(Tabla1561217[[#This Row],[Puntos scratch3]]="","NO PUNTÚA",SUM(Tabla1561217[[#This Row],[Puntos scratch3]],Tabla1561217[[#This Row],[Puntos clase5]])*2)</f>
        <v>NO PUNTÚA</v>
      </c>
      <c r="W12" s="241">
        <v>6</v>
      </c>
      <c r="X12" s="251" t="s">
        <v>189</v>
      </c>
      <c r="Z12" s="263" t="s">
        <v>463</v>
      </c>
      <c r="AA12" s="172">
        <f>W19+W20</f>
        <v>0</v>
      </c>
    </row>
    <row r="13" spans="1:27" x14ac:dyDescent="0.35">
      <c r="A13" s="176">
        <v>8</v>
      </c>
      <c r="B13" s="176">
        <v>12</v>
      </c>
      <c r="C13" s="268" t="s">
        <v>189</v>
      </c>
      <c r="D13" s="179" t="s">
        <v>174</v>
      </c>
      <c r="E13" s="179" t="s">
        <v>168</v>
      </c>
      <c r="F13" s="179" t="s">
        <v>282</v>
      </c>
      <c r="G13" s="179" t="s">
        <v>168</v>
      </c>
      <c r="H13" s="179" t="s">
        <v>294</v>
      </c>
      <c r="I13" s="180" t="s">
        <v>200</v>
      </c>
      <c r="J13" s="180">
        <v>1</v>
      </c>
      <c r="K13" s="181"/>
      <c r="L13" s="183">
        <f>IF(AND(E13="M",Tabla1561217[[#This Row],[POS]]&lt;&gt;"AB",Tabla1561217[[#This Row],[POS]]&lt;&gt;"DSQ"),COUNTIF($E$6:E13,"M"),"")</f>
        <v>8</v>
      </c>
      <c r="M13" s="183">
        <f>IF(E13="M",IF(Tabla1561217[[#This Row],[Tiempo]]="AB","",LOOKUP(Tabla1561217[[#This Row],[CLAS SCRATCH]],'Datos puntos'!$A$2:$A$23,'Datos puntos'!$B$2:$B$23)),"")</f>
        <v>6</v>
      </c>
      <c r="N13" s="183">
        <f>IF(AND(E13="M",Tabla1561217[[#This Row],[POS]]&lt;&gt;"AB",Tabla1561217[[#This Row],[POS]]&lt;&gt;"DSQ"),COUNTIFS($J$6:J13,Tabla1561217[[#This Row],[Clase]],$E$6:E13,"M"),"")</f>
        <v>5</v>
      </c>
      <c r="O13" s="183">
        <f>IF(E13="M",IF(Tabla1561217[[#This Row],[Tiempo]]="AB","",LOOKUP(Tabla1561217[[#This Row],[CLAS CLASE]],'Datos puntos'!$A$25:$A$53,'Datos puntos'!$B$25:$B$53)),"")</f>
        <v>3</v>
      </c>
      <c r="P13" s="183">
        <f>IF(Tabla1561217[[#This Row],[Puntos scratch]]="","NO PUNTÚA",SUM(Tabla1561217[[#This Row],[Puntos scratch]],Tabla1561217[[#This Row],[Puntos clase]])*2)</f>
        <v>18</v>
      </c>
      <c r="Q13" s="183">
        <f>IF(AND(G13="M",Tabla1561217[[#This Row],[POS]]&lt;&gt;"AB",Tabla1561217[[#This Row],[POS]]&lt;&gt;"DSQ"),COUNTIF($G$6:G13,"M"),"")</f>
        <v>6</v>
      </c>
      <c r="R13" s="183">
        <f>IF(G13="M",IF(Tabla1561217[[#This Row],[Tiempo]]="AB","",LOOKUP(Tabla1561217[[#This Row],[CLAS SCRATCH2]],'Datos puntos'!$A$2:$A$23,'Datos puntos'!$B$2:$B$23)),"")</f>
        <v>10</v>
      </c>
      <c r="S13" s="183">
        <f>IF(AND(G13="M",Tabla1561217[[#This Row],[POS]]&lt;&gt;"AB",Tabla1561217[[#This Row],[POS]]&lt;&gt;"DSQ"),COUNTIFS($J$6:J13,Tabla1561217[[#This Row],[Clase]],$G$6:G13,"M"),"")</f>
        <v>4</v>
      </c>
      <c r="T13" s="183">
        <f>IF(G13="M",IF(Tabla1561217[[#This Row],[Tiempo]]="AB","",LOOKUP(Tabla1561217[[#This Row],[CLAS CLASE2]],'Datos puntos'!$A$25:$A$53,'Datos puntos'!$B$25:$B$53)),"")</f>
        <v>5</v>
      </c>
      <c r="U13" s="183">
        <f>IF(Tabla1561217[[#This Row],[Puntos scratch3]]="","NO PUNTÚA",SUM(Tabla1561217[[#This Row],[Puntos scratch3]],Tabla1561217[[#This Row],[Puntos clase5]])*2)</f>
        <v>30</v>
      </c>
      <c r="W13" s="241">
        <v>5</v>
      </c>
      <c r="X13" s="289" t="s">
        <v>362</v>
      </c>
      <c r="Z13" s="279"/>
      <c r="AA13" s="172">
        <v>0</v>
      </c>
    </row>
    <row r="14" spans="1:27" x14ac:dyDescent="0.35">
      <c r="A14" s="176">
        <v>9</v>
      </c>
      <c r="B14" s="176">
        <v>17</v>
      </c>
      <c r="C14" s="269" t="s">
        <v>362</v>
      </c>
      <c r="D14" s="179" t="s">
        <v>368</v>
      </c>
      <c r="E14" s="179" t="s">
        <v>168</v>
      </c>
      <c r="F14" s="179" t="s">
        <v>422</v>
      </c>
      <c r="G14" s="179" t="s">
        <v>432</v>
      </c>
      <c r="H14" s="179" t="s">
        <v>201</v>
      </c>
      <c r="I14" s="180" t="s">
        <v>24</v>
      </c>
      <c r="J14" s="180">
        <v>3</v>
      </c>
      <c r="K14" s="181"/>
      <c r="L14" s="183">
        <f>IF(AND(E14="M",Tabla1561217[[#This Row],[POS]]&lt;&gt;"AB",Tabla1561217[[#This Row],[POS]]&lt;&gt;"DSQ"),COUNTIF($E$6:E14,"M"),"")</f>
        <v>9</v>
      </c>
      <c r="M14" s="183">
        <f>IF(E14="M",IF(Tabla1561217[[#This Row],[Tiempo]]="AB","",LOOKUP(Tabla1561217[[#This Row],[CLAS SCRATCH]],'Datos puntos'!$A$2:$A$23,'Datos puntos'!$B$2:$B$23)),"")</f>
        <v>5</v>
      </c>
      <c r="N14" s="183">
        <f>IF(AND(E14="M",Tabla1561217[[#This Row],[POS]]&lt;&gt;"AB",Tabla1561217[[#This Row],[POS]]&lt;&gt;"DSQ"),COUNTIFS($J$6:J14,Tabla1561217[[#This Row],[Clase]],$E$6:E14,"M"),"")</f>
        <v>1</v>
      </c>
      <c r="O14" s="183">
        <f>IF(E14="M",IF(Tabla1561217[[#This Row],[Tiempo]]="AB","",LOOKUP(Tabla1561217[[#This Row],[CLAS CLASE]],'Datos puntos'!$A$25:$A$53,'Datos puntos'!$B$25:$B$53)),"")</f>
        <v>10</v>
      </c>
      <c r="P14" s="183">
        <f>IF(Tabla1561217[[#This Row],[Puntos scratch]]="","NO PUNTÚA",SUM(Tabla1561217[[#This Row],[Puntos scratch]],Tabla1561217[[#This Row],[Puntos clase]])*2)</f>
        <v>30</v>
      </c>
      <c r="Q14" s="183" t="str">
        <f>IF(AND(G14="M",Tabla1561217[[#This Row],[POS]]&lt;&gt;"AB",Tabla1561217[[#This Row],[POS]]&lt;&gt;"DSQ"),COUNTIF($G$6:G14,"M"),"")</f>
        <v/>
      </c>
      <c r="R14" s="183" t="str">
        <f>IF(G14="M",IF(Tabla1561217[[#This Row],[Tiempo]]="AB","",LOOKUP(Tabla1561217[[#This Row],[CLAS SCRATCH2]],'Datos puntos'!$A$2:$A$23,'Datos puntos'!$B$2:$B$23)),"")</f>
        <v/>
      </c>
      <c r="S14" s="183" t="str">
        <f>IF(AND(G14="M",Tabla1561217[[#This Row],[POS]]&lt;&gt;"AB",Tabla1561217[[#This Row],[POS]]&lt;&gt;"DSQ"),COUNTIFS($J$6:J14,Tabla1561217[[#This Row],[Clase]],$G$6:G14,"M"),"")</f>
        <v/>
      </c>
      <c r="T14" s="183" t="str">
        <f>IF(G14="M",IF(Tabla1561217[[#This Row],[Tiempo]]="AB","",LOOKUP(Tabla1561217[[#This Row],[CLAS CLASE2]],'Datos puntos'!$A$25:$A$53,'Datos puntos'!$B$25:$B$53)),"")</f>
        <v/>
      </c>
      <c r="U14" s="183" t="str">
        <f>IF(Tabla1561217[[#This Row],[Puntos scratch3]]="","NO PUNTÚA",SUM(Tabla1561217[[#This Row],[Puntos scratch3]],Tabla1561217[[#This Row],[Puntos clase5]])*2)</f>
        <v>NO PUNTÚA</v>
      </c>
      <c r="W14" s="241">
        <v>4</v>
      </c>
      <c r="X14" s="252" t="s">
        <v>232</v>
      </c>
    </row>
    <row r="15" spans="1:27" x14ac:dyDescent="0.35">
      <c r="A15" s="176">
        <v>10</v>
      </c>
      <c r="B15" s="176">
        <v>39</v>
      </c>
      <c r="C15" s="179" t="s">
        <v>232</v>
      </c>
      <c r="D15" s="179" t="s">
        <v>283</v>
      </c>
      <c r="E15" s="179" t="s">
        <v>168</v>
      </c>
      <c r="F15" s="179" t="s">
        <v>244</v>
      </c>
      <c r="G15" s="179" t="s">
        <v>168</v>
      </c>
      <c r="H15" s="179" t="s">
        <v>176</v>
      </c>
      <c r="I15" s="180" t="s">
        <v>24</v>
      </c>
      <c r="J15" s="180">
        <v>4</v>
      </c>
      <c r="K15" s="181"/>
      <c r="L15" s="183">
        <f>IF(AND(E15="M",Tabla1561217[[#This Row],[POS]]&lt;&gt;"AB",Tabla1561217[[#This Row],[POS]]&lt;&gt;"DSQ"),COUNTIF($E$6:E15,"M"),"")</f>
        <v>10</v>
      </c>
      <c r="M15" s="183">
        <f>IF(E15="M",IF(Tabla1561217[[#This Row],[Tiempo]]="AB","",LOOKUP(Tabla1561217[[#This Row],[CLAS SCRATCH]],'Datos puntos'!$A$2:$A$23,'Datos puntos'!$B$2:$B$23)),"")</f>
        <v>4</v>
      </c>
      <c r="N15" s="183">
        <f>IF(AND(E15="M",Tabla1561217[[#This Row],[POS]]&lt;&gt;"AB",Tabla1561217[[#This Row],[POS]]&lt;&gt;"DSQ"),COUNTIFS($J$6:J15,Tabla1561217[[#This Row],[Clase]],$E$6:E15,"M"),"")</f>
        <v>1</v>
      </c>
      <c r="O15" s="183">
        <f>IF(E15="M",IF(Tabla1561217[[#This Row],[Tiempo]]="AB","",LOOKUP(Tabla1561217[[#This Row],[CLAS CLASE]],'Datos puntos'!$A$25:$A$53,'Datos puntos'!$B$25:$B$53)),"")</f>
        <v>10</v>
      </c>
      <c r="P15" s="183">
        <f>IF(Tabla1561217[[#This Row],[Puntos scratch]]="","NO PUNTÚA",SUM(Tabla1561217[[#This Row],[Puntos scratch]],Tabla1561217[[#This Row],[Puntos clase]])*2)</f>
        <v>28</v>
      </c>
      <c r="Q15" s="183">
        <f>IF(AND(G15="M",Tabla1561217[[#This Row],[POS]]&lt;&gt;"AB",Tabla1561217[[#This Row],[POS]]&lt;&gt;"DSQ"),COUNTIF($G$6:G15,"M"),"")</f>
        <v>7</v>
      </c>
      <c r="R15" s="183">
        <f>IF(G15="M",IF(Tabla1561217[[#This Row],[Tiempo]]="AB","",LOOKUP(Tabla1561217[[#This Row],[CLAS SCRATCH2]],'Datos puntos'!$A$2:$A$23,'Datos puntos'!$B$2:$B$23)),"")</f>
        <v>8</v>
      </c>
      <c r="S15" s="183">
        <f>IF(AND(G15="M",Tabla1561217[[#This Row],[POS]]&lt;&gt;"AB",Tabla1561217[[#This Row],[POS]]&lt;&gt;"DSQ"),COUNTIFS($J$6:J15,Tabla1561217[[#This Row],[Clase]],$G$6:G15,"M"),"")</f>
        <v>1</v>
      </c>
      <c r="T15" s="183">
        <f>IF(G15="M",IF(Tabla1561217[[#This Row],[Tiempo]]="AB","",LOOKUP(Tabla1561217[[#This Row],[CLAS CLASE2]],'Datos puntos'!$A$25:$A$53,'Datos puntos'!$B$25:$B$53)),"")</f>
        <v>10</v>
      </c>
      <c r="U15" s="183">
        <f>IF(Tabla1561217[[#This Row],[Puntos scratch3]]="","NO PUNTÚA",SUM(Tabla1561217[[#This Row],[Puntos scratch3]],Tabla1561217[[#This Row],[Puntos clase5]])*2)</f>
        <v>36</v>
      </c>
      <c r="W15" s="241">
        <v>3</v>
      </c>
      <c r="X15" s="289" t="s">
        <v>362</v>
      </c>
    </row>
    <row r="16" spans="1:27" x14ac:dyDescent="0.35">
      <c r="A16" s="176">
        <v>11</v>
      </c>
      <c r="B16" s="176">
        <v>20</v>
      </c>
      <c r="C16" s="269" t="s">
        <v>362</v>
      </c>
      <c r="D16" s="179" t="s">
        <v>312</v>
      </c>
      <c r="E16" s="179" t="s">
        <v>168</v>
      </c>
      <c r="F16" s="179" t="s">
        <v>313</v>
      </c>
      <c r="G16" s="179" t="s">
        <v>168</v>
      </c>
      <c r="H16" s="179" t="s">
        <v>314</v>
      </c>
      <c r="I16" s="180" t="s">
        <v>24</v>
      </c>
      <c r="J16" s="180">
        <v>3</v>
      </c>
      <c r="K16" s="181"/>
      <c r="L16" s="183">
        <f>IF(AND(E16="M",Tabla1561217[[#This Row],[POS]]&lt;&gt;"AB",Tabla1561217[[#This Row],[POS]]&lt;&gt;"DSQ"),COUNTIF($E$6:E16,"M"),"")</f>
        <v>11</v>
      </c>
      <c r="M16" s="183">
        <f>IF(E16="M",IF(Tabla1561217[[#This Row],[Tiempo]]="AB","",LOOKUP(Tabla1561217[[#This Row],[CLAS SCRATCH]],'Datos puntos'!$A$2:$A$23,'Datos puntos'!$B$2:$B$23)),"")</f>
        <v>3</v>
      </c>
      <c r="N16" s="183">
        <f>IF(AND(E16="M",Tabla1561217[[#This Row],[POS]]&lt;&gt;"AB",Tabla1561217[[#This Row],[POS]]&lt;&gt;"DSQ"),COUNTIFS($J$6:J16,Tabla1561217[[#This Row],[Clase]],$E$6:E16,"M"),"")</f>
        <v>2</v>
      </c>
      <c r="O16" s="183">
        <f>IF(E16="M",IF(Tabla1561217[[#This Row],[Tiempo]]="AB","",LOOKUP(Tabla1561217[[#This Row],[CLAS CLASE]],'Datos puntos'!$A$25:$A$53,'Datos puntos'!$B$25:$B$53)),"")</f>
        <v>8</v>
      </c>
      <c r="P16" s="183">
        <f>IF(Tabla1561217[[#This Row],[Puntos scratch]]="","NO PUNTÚA",SUM(Tabla1561217[[#This Row],[Puntos scratch]],Tabla1561217[[#This Row],[Puntos clase]])*2)</f>
        <v>22</v>
      </c>
      <c r="Q16" s="183">
        <f>IF(AND(G16="M",Tabla1561217[[#This Row],[POS]]&lt;&gt;"AB",Tabla1561217[[#This Row],[POS]]&lt;&gt;"DSQ"),COUNTIF($G$6:G16,"M"),"")</f>
        <v>8</v>
      </c>
      <c r="R16" s="183">
        <f>IF(G16="M",IF(Tabla1561217[[#This Row],[Tiempo]]="AB","",LOOKUP(Tabla1561217[[#This Row],[CLAS SCRATCH2]],'Datos puntos'!$A$2:$A$23,'Datos puntos'!$B$2:$B$23)),"")</f>
        <v>6</v>
      </c>
      <c r="S16" s="183">
        <f>IF(AND(G16="M",Tabla1561217[[#This Row],[POS]]&lt;&gt;"AB",Tabla1561217[[#This Row],[POS]]&lt;&gt;"DSQ"),COUNTIFS($J$6:J16,Tabla1561217[[#This Row],[Clase]],$G$6:G16,"M"),"")</f>
        <v>1</v>
      </c>
      <c r="T16" s="183">
        <f>IF(G16="M",IF(Tabla1561217[[#This Row],[Tiempo]]="AB","",LOOKUP(Tabla1561217[[#This Row],[CLAS CLASE2]],'Datos puntos'!$A$25:$A$53,'Datos puntos'!$B$25:$B$53)),"")</f>
        <v>10</v>
      </c>
      <c r="U16" s="183">
        <f>IF(Tabla1561217[[#This Row],[Puntos scratch3]]="","NO PUNTÚA",SUM(Tabla1561217[[#This Row],[Puntos scratch3]],Tabla1561217[[#This Row],[Puntos clase5]])*2)</f>
        <v>32</v>
      </c>
      <c r="W16" s="241">
        <v>2</v>
      </c>
      <c r="X16" s="253" t="s">
        <v>362</v>
      </c>
    </row>
    <row r="17" spans="1:24" x14ac:dyDescent="0.35">
      <c r="A17" s="176">
        <v>12</v>
      </c>
      <c r="B17" s="176">
        <v>16</v>
      </c>
      <c r="C17" s="268" t="s">
        <v>362</v>
      </c>
      <c r="D17" s="179" t="s">
        <v>356</v>
      </c>
      <c r="E17" s="179" t="s">
        <v>168</v>
      </c>
      <c r="F17" s="179" t="s">
        <v>284</v>
      </c>
      <c r="G17" s="179" t="s">
        <v>168</v>
      </c>
      <c r="H17" s="179" t="s">
        <v>429</v>
      </c>
      <c r="I17" s="180" t="s">
        <v>200</v>
      </c>
      <c r="J17" s="180">
        <v>5</v>
      </c>
      <c r="K17" s="181"/>
      <c r="L17" s="183">
        <f>IF(AND(E17="M",Tabla1561217[[#This Row],[POS]]&lt;&gt;"AB",Tabla1561217[[#This Row],[POS]]&lt;&gt;"DSQ"),COUNTIF($E$6:E17,"M"),"")</f>
        <v>12</v>
      </c>
      <c r="M17" s="183">
        <f>IF(E17="M",IF(Tabla1561217[[#This Row],[Tiempo]]="AB","",LOOKUP(Tabla1561217[[#This Row],[CLAS SCRATCH]],'Datos puntos'!$A$2:$A$23,'Datos puntos'!$B$2:$B$23)),"")</f>
        <v>2</v>
      </c>
      <c r="N17" s="183">
        <f>IF(AND(E17="M",Tabla1561217[[#This Row],[POS]]&lt;&gt;"AB",Tabla1561217[[#This Row],[POS]]&lt;&gt;"DSQ"),COUNTIFS($J$6:J17,Tabla1561217[[#This Row],[Clase]],$E$6:E17,"M"),"")</f>
        <v>1</v>
      </c>
      <c r="O17" s="183">
        <f>IF(E17="M",IF(Tabla1561217[[#This Row],[Tiempo]]="AB","",LOOKUP(Tabla1561217[[#This Row],[CLAS CLASE]],'Datos puntos'!$A$25:$A$53,'Datos puntos'!$B$25:$B$53)),"")</f>
        <v>10</v>
      </c>
      <c r="P17" s="183">
        <f>IF(Tabla1561217[[#This Row],[Puntos scratch]]="","NO PUNTÚA",SUM(Tabla1561217[[#This Row],[Puntos scratch]],Tabla1561217[[#This Row],[Puntos clase]])*2)</f>
        <v>24</v>
      </c>
      <c r="Q17" s="183">
        <f>IF(AND(G17="M",Tabla1561217[[#This Row],[POS]]&lt;&gt;"AB",Tabla1561217[[#This Row],[POS]]&lt;&gt;"DSQ"),COUNTIF($G$6:G17,"M"),"")</f>
        <v>9</v>
      </c>
      <c r="R17" s="183">
        <f>IF(G17="M",IF(Tabla1561217[[#This Row],[Tiempo]]="AB","",LOOKUP(Tabla1561217[[#This Row],[CLAS SCRATCH2]],'Datos puntos'!$A$2:$A$23,'Datos puntos'!$B$2:$B$23)),"")</f>
        <v>5</v>
      </c>
      <c r="S17" s="183">
        <f>IF(AND(G17="M",Tabla1561217[[#This Row],[POS]]&lt;&gt;"AB",Tabla1561217[[#This Row],[POS]]&lt;&gt;"DSQ"),COUNTIFS($J$6:J17,Tabla1561217[[#This Row],[Clase]],$G$6:G17,"M"),"")</f>
        <v>1</v>
      </c>
      <c r="T17" s="183">
        <f>IF(G17="M",IF(Tabla1561217[[#This Row],[Tiempo]]="AB","",LOOKUP(Tabla1561217[[#This Row],[CLAS CLASE2]],'Datos puntos'!$A$25:$A$53,'Datos puntos'!$B$25:$B$53)),"")</f>
        <v>10</v>
      </c>
      <c r="U17" s="183">
        <f>IF(Tabla1561217[[#This Row],[Puntos scratch3]]="","NO PUNTÚA",SUM(Tabla1561217[[#This Row],[Puntos scratch3]],Tabla1561217[[#This Row],[Puntos clase5]])*2)</f>
        <v>30</v>
      </c>
      <c r="W17" s="241">
        <v>1</v>
      </c>
      <c r="X17" s="277" t="s">
        <v>304</v>
      </c>
    </row>
    <row r="18" spans="1:24" x14ac:dyDescent="0.35">
      <c r="A18" s="176">
        <v>13</v>
      </c>
      <c r="B18" s="176">
        <v>11</v>
      </c>
      <c r="C18" s="268" t="s">
        <v>401</v>
      </c>
      <c r="D18" s="179" t="s">
        <v>241</v>
      </c>
      <c r="E18" s="179" t="s">
        <v>168</v>
      </c>
      <c r="F18" s="179" t="s">
        <v>296</v>
      </c>
      <c r="G18" s="179" t="s">
        <v>168</v>
      </c>
      <c r="H18" s="179" t="s">
        <v>357</v>
      </c>
      <c r="I18" s="180" t="s">
        <v>24</v>
      </c>
      <c r="J18" s="180">
        <v>5</v>
      </c>
      <c r="K18" s="181"/>
      <c r="L18" s="183">
        <f>IF(AND(E18="M",Tabla1561217[[#This Row],[POS]]&lt;&gt;"AB",Tabla1561217[[#This Row],[POS]]&lt;&gt;"DSQ"),COUNTIF($E$6:E18,"M"),"")</f>
        <v>13</v>
      </c>
      <c r="M18" s="183">
        <f>IF(E18="M",IF(Tabla1561217[[#This Row],[Tiempo]]="AB","",LOOKUP(Tabla1561217[[#This Row],[CLAS SCRATCH]],'Datos puntos'!$A$2:$A$23,'Datos puntos'!$B$2:$B$23)),"")</f>
        <v>1</v>
      </c>
      <c r="N18" s="183">
        <f>IF(AND(E18="M",Tabla1561217[[#This Row],[POS]]&lt;&gt;"AB",Tabla1561217[[#This Row],[POS]]&lt;&gt;"DSQ"),COUNTIFS($J$6:J18,Tabla1561217[[#This Row],[Clase]],$E$6:E18,"M"),"")</f>
        <v>2</v>
      </c>
      <c r="O18" s="183">
        <f>IF(E18="M",IF(Tabla1561217[[#This Row],[Tiempo]]="AB","",LOOKUP(Tabla1561217[[#This Row],[CLAS CLASE]],'Datos puntos'!$A$25:$A$53,'Datos puntos'!$B$25:$B$53)),"")</f>
        <v>8</v>
      </c>
      <c r="P18" s="183">
        <f>IF(Tabla1561217[[#This Row],[Puntos scratch]]="","NO PUNTÚA",SUM(Tabla1561217[[#This Row],[Puntos scratch]],Tabla1561217[[#This Row],[Puntos clase]])*2)</f>
        <v>18</v>
      </c>
      <c r="Q18" s="183">
        <f>IF(AND(G18="M",Tabla1561217[[#This Row],[POS]]&lt;&gt;"AB",Tabla1561217[[#This Row],[POS]]&lt;&gt;"DSQ"),COUNTIF($G$6:G18,"M"),"")</f>
        <v>10</v>
      </c>
      <c r="R18" s="183">
        <f>IF(G18="M",IF(Tabla1561217[[#This Row],[Tiempo]]="AB","",LOOKUP(Tabla1561217[[#This Row],[CLAS SCRATCH2]],'Datos puntos'!$A$2:$A$23,'Datos puntos'!$B$2:$B$23)),"")</f>
        <v>4</v>
      </c>
      <c r="S18" s="183">
        <f>IF(AND(G18="M",Tabla1561217[[#This Row],[POS]]&lt;&gt;"AB",Tabla1561217[[#This Row],[POS]]&lt;&gt;"DSQ"),COUNTIFS($J$6:J18,Tabla1561217[[#This Row],[Clase]],$G$6:G18,"M"),"")</f>
        <v>2</v>
      </c>
      <c r="T18" s="183">
        <f>IF(G18="M",IF(Tabla1561217[[#This Row],[Tiempo]]="AB","",LOOKUP(Tabla1561217[[#This Row],[CLAS CLASE2]],'Datos puntos'!$A$25:$A$53,'Datos puntos'!$B$25:$B$53)),"")</f>
        <v>8</v>
      </c>
      <c r="U18" s="183">
        <f>IF(Tabla1561217[[#This Row],[Puntos scratch3]]="","NO PUNTÚA",SUM(Tabla1561217[[#This Row],[Puntos scratch3]],Tabla1561217[[#This Row],[Puntos clase5]])*2)</f>
        <v>24</v>
      </c>
      <c r="W18" s="241">
        <v>0</v>
      </c>
      <c r="X18" s="263" t="s">
        <v>363</v>
      </c>
    </row>
    <row r="19" spans="1:24" x14ac:dyDescent="0.35">
      <c r="A19" s="176">
        <v>14</v>
      </c>
      <c r="B19" s="176">
        <v>36</v>
      </c>
      <c r="C19" s="268" t="s">
        <v>304</v>
      </c>
      <c r="D19" s="179" t="s">
        <v>305</v>
      </c>
      <c r="E19" s="179" t="s">
        <v>168</v>
      </c>
      <c r="F19" s="179" t="s">
        <v>306</v>
      </c>
      <c r="G19" s="179" t="s">
        <v>168</v>
      </c>
      <c r="H19" s="179" t="s">
        <v>307</v>
      </c>
      <c r="I19" s="180" t="s">
        <v>24</v>
      </c>
      <c r="J19" s="180">
        <v>5</v>
      </c>
      <c r="K19" s="181"/>
      <c r="L19" s="183">
        <f>IF(AND(E19="M",Tabla1561217[[#This Row],[POS]]&lt;&gt;"AB",Tabla1561217[[#This Row],[POS]]&lt;&gt;"DSQ"),COUNTIF($E$6:E19,"M"),"")</f>
        <v>14</v>
      </c>
      <c r="M19" s="183">
        <f>IF(E19="M",IF(Tabla1561217[[#This Row],[Tiempo]]="AB","",LOOKUP(Tabla1561217[[#This Row],[CLAS SCRATCH]],'Datos puntos'!$A$2:$A$23,'Datos puntos'!$B$2:$B$23)),"")</f>
        <v>0</v>
      </c>
      <c r="N19" s="183">
        <f>IF(AND(E19="M",Tabla1561217[[#This Row],[POS]]&lt;&gt;"AB",Tabla1561217[[#This Row],[POS]]&lt;&gt;"DSQ"),COUNTIFS($J$6:J19,Tabla1561217[[#This Row],[Clase]],$E$6:E19,"M"),"")</f>
        <v>3</v>
      </c>
      <c r="O19" s="183">
        <f>IF(E19="M",IF(Tabla1561217[[#This Row],[Tiempo]]="AB","",LOOKUP(Tabla1561217[[#This Row],[CLAS CLASE]],'Datos puntos'!$A$25:$A$53,'Datos puntos'!$B$25:$B$53)),"")</f>
        <v>6</v>
      </c>
      <c r="P19" s="183">
        <f>IF(Tabla1561217[[#This Row],[Puntos scratch]]="","NO PUNTÚA",SUM(Tabla1561217[[#This Row],[Puntos scratch]],Tabla1561217[[#This Row],[Puntos clase]])*2)</f>
        <v>12</v>
      </c>
      <c r="Q19" s="183">
        <f>IF(AND(G19="M",Tabla1561217[[#This Row],[POS]]&lt;&gt;"AB",Tabla1561217[[#This Row],[POS]]&lt;&gt;"DSQ"),COUNTIF($G$6:G19,"M"),"")</f>
        <v>11</v>
      </c>
      <c r="R19" s="183">
        <f>IF(G19="M",IF(Tabla1561217[[#This Row],[Tiempo]]="AB","",LOOKUP(Tabla1561217[[#This Row],[CLAS SCRATCH2]],'Datos puntos'!$A$2:$A$23,'Datos puntos'!$B$2:$B$23)),"")</f>
        <v>3</v>
      </c>
      <c r="S19" s="183">
        <f>IF(AND(G19="M",Tabla1561217[[#This Row],[POS]]&lt;&gt;"AB",Tabla1561217[[#This Row],[POS]]&lt;&gt;"DSQ"),COUNTIFS($J$6:J19,Tabla1561217[[#This Row],[Clase]],$G$6:G19,"M"),"")</f>
        <v>3</v>
      </c>
      <c r="T19" s="183">
        <f>IF(G19="M",IF(Tabla1561217[[#This Row],[Tiempo]]="AB","",LOOKUP(Tabla1561217[[#This Row],[CLAS CLASE2]],'Datos puntos'!$A$25:$A$53,'Datos puntos'!$B$25:$B$53)),"")</f>
        <v>6</v>
      </c>
      <c r="U19" s="183">
        <f>IF(Tabla1561217[[#This Row],[Puntos scratch3]]="","NO PUNTÚA",SUM(Tabla1561217[[#This Row],[Puntos scratch3]],Tabla1561217[[#This Row],[Puntos clase5]])*2)</f>
        <v>18</v>
      </c>
    </row>
    <row r="20" spans="1:24" x14ac:dyDescent="0.35">
      <c r="A20" s="176">
        <v>15</v>
      </c>
      <c r="B20" s="176">
        <v>40</v>
      </c>
      <c r="C20" s="269" t="s">
        <v>175</v>
      </c>
      <c r="D20" s="179" t="s">
        <v>310</v>
      </c>
      <c r="E20" s="179" t="s">
        <v>168</v>
      </c>
      <c r="F20" s="179" t="s">
        <v>311</v>
      </c>
      <c r="G20" s="179" t="s">
        <v>168</v>
      </c>
      <c r="H20" s="179" t="s">
        <v>176</v>
      </c>
      <c r="I20" s="180" t="s">
        <v>24</v>
      </c>
      <c r="J20" s="180">
        <v>4</v>
      </c>
      <c r="K20" s="181"/>
      <c r="L20" s="183">
        <f>IF(AND(E20="M",Tabla1561217[[#This Row],[POS]]&lt;&gt;"AB",Tabla1561217[[#This Row],[POS]]&lt;&gt;"DSQ"),COUNTIF($E$6:E20,"M"),"")</f>
        <v>15</v>
      </c>
      <c r="M20" s="183">
        <f>IF(E20="M",IF(Tabla1561217[[#This Row],[Tiempo]]="AB","",LOOKUP(Tabla1561217[[#This Row],[CLAS SCRATCH]],'Datos puntos'!$A$2:$A$23,'Datos puntos'!$B$2:$B$23)),"")</f>
        <v>0</v>
      </c>
      <c r="N20" s="183">
        <f>IF(AND(E20="M",Tabla1561217[[#This Row],[POS]]&lt;&gt;"AB",Tabla1561217[[#This Row],[POS]]&lt;&gt;"DSQ"),COUNTIFS($J$6:J20,Tabla1561217[[#This Row],[Clase]],$E$6:E20,"M"),"")</f>
        <v>2</v>
      </c>
      <c r="O20" s="183">
        <f>IF(E20="M",IF(Tabla1561217[[#This Row],[Tiempo]]="AB","",LOOKUP(Tabla1561217[[#This Row],[CLAS CLASE]],'Datos puntos'!$A$25:$A$53,'Datos puntos'!$B$25:$B$53)),"")</f>
        <v>8</v>
      </c>
      <c r="P20" s="183">
        <f>IF(Tabla1561217[[#This Row],[Puntos scratch]]="","NO PUNTÚA",SUM(Tabla1561217[[#This Row],[Puntos scratch]],Tabla1561217[[#This Row],[Puntos clase]])*2)</f>
        <v>16</v>
      </c>
      <c r="Q20" s="183">
        <f>IF(AND(G20="M",Tabla1561217[[#This Row],[POS]]&lt;&gt;"AB",Tabla1561217[[#This Row],[POS]]&lt;&gt;"DSQ"),COUNTIF($G$6:G20,"M"),"")</f>
        <v>12</v>
      </c>
      <c r="R20" s="183">
        <f>IF(G20="M",IF(Tabla1561217[[#This Row],[Tiempo]]="AB","",LOOKUP(Tabla1561217[[#This Row],[CLAS SCRATCH2]],'Datos puntos'!$A$2:$A$23,'Datos puntos'!$B$2:$B$23)),"")</f>
        <v>2</v>
      </c>
      <c r="S20" s="183">
        <f>IF(AND(G20="M",Tabla1561217[[#This Row],[POS]]&lt;&gt;"AB",Tabla1561217[[#This Row],[POS]]&lt;&gt;"DSQ"),COUNTIFS($J$6:J20,Tabla1561217[[#This Row],[Clase]],$G$6:G20,"M"),"")</f>
        <v>2</v>
      </c>
      <c r="T20" s="183">
        <f>IF(G20="M",IF(Tabla1561217[[#This Row],[Tiempo]]="AB","",LOOKUP(Tabla1561217[[#This Row],[CLAS CLASE2]],'Datos puntos'!$A$25:$A$53,'Datos puntos'!$B$25:$B$53)),"")</f>
        <v>8</v>
      </c>
      <c r="U20" s="183">
        <f>IF(Tabla1561217[[#This Row],[Puntos scratch3]]="","NO PUNTÚA",SUM(Tabla1561217[[#This Row],[Puntos scratch3]],Tabla1561217[[#This Row],[Puntos clase5]])*2)</f>
        <v>20</v>
      </c>
    </row>
    <row r="21" spans="1:24" x14ac:dyDescent="0.35">
      <c r="A21" s="176">
        <v>16</v>
      </c>
      <c r="B21" s="176">
        <v>41</v>
      </c>
      <c r="C21" s="179" t="s">
        <v>189</v>
      </c>
      <c r="D21" s="179" t="s">
        <v>406</v>
      </c>
      <c r="E21" s="179" t="s">
        <v>432</v>
      </c>
      <c r="F21" s="179" t="s">
        <v>423</v>
      </c>
      <c r="G21" s="179" t="s">
        <v>432</v>
      </c>
      <c r="H21" s="179" t="s">
        <v>176</v>
      </c>
      <c r="I21" s="180" t="s">
        <v>24</v>
      </c>
      <c r="J21" s="180">
        <v>4</v>
      </c>
      <c r="K21" s="181"/>
      <c r="L21" s="183" t="str">
        <f>IF(AND(E21="M",Tabla1561217[[#This Row],[POS]]&lt;&gt;"AB",Tabla1561217[[#This Row],[POS]]&lt;&gt;"DSQ"),COUNTIF($E$6:E21,"M"),"")</f>
        <v/>
      </c>
      <c r="M21" s="183" t="str">
        <f>IF(E21="M",IF(Tabla1561217[[#This Row],[Tiempo]]="AB","",LOOKUP(Tabla1561217[[#This Row],[CLAS SCRATCH]],'Datos puntos'!$A$2:$A$23,'Datos puntos'!$B$2:$B$23)),"")</f>
        <v/>
      </c>
      <c r="N21" s="183" t="str">
        <f>IF(AND(E21="M",Tabla1561217[[#This Row],[POS]]&lt;&gt;"AB",Tabla1561217[[#This Row],[POS]]&lt;&gt;"DSQ"),COUNTIFS($J$6:J21,Tabla1561217[[#This Row],[Clase]],$E$6:E21,"M"),"")</f>
        <v/>
      </c>
      <c r="O21" s="183" t="str">
        <f>IF(E21="M",IF(Tabla1561217[[#This Row],[Tiempo]]="AB","",LOOKUP(Tabla1561217[[#This Row],[CLAS CLASE]],'Datos puntos'!$A$25:$A$53,'Datos puntos'!$B$25:$B$53)),"")</f>
        <v/>
      </c>
      <c r="P21" s="183" t="str">
        <f>IF(Tabla1561217[[#This Row],[Puntos scratch]]="","NO PUNTÚA",SUM(Tabla1561217[[#This Row],[Puntos scratch]],Tabla1561217[[#This Row],[Puntos clase]])*2)</f>
        <v>NO PUNTÚA</v>
      </c>
      <c r="Q21" s="183" t="str">
        <f>IF(AND(G21="M",Tabla1561217[[#This Row],[POS]]&lt;&gt;"AB",Tabla1561217[[#This Row],[POS]]&lt;&gt;"DSQ"),COUNTIF($G$6:G21,"M"),"")</f>
        <v/>
      </c>
      <c r="R21" s="183" t="str">
        <f>IF(G21="M",IF(Tabla1561217[[#This Row],[Tiempo]]="AB","",LOOKUP(Tabla1561217[[#This Row],[CLAS SCRATCH2]],'Datos puntos'!$A$2:$A$23,'Datos puntos'!$B$2:$B$23)),"")</f>
        <v/>
      </c>
      <c r="S21" s="183" t="str">
        <f>IF(AND(G21="M",Tabla1561217[[#This Row],[POS]]&lt;&gt;"AB",Tabla1561217[[#This Row],[POS]]&lt;&gt;"DSQ"),COUNTIFS($J$6:J21,Tabla1561217[[#This Row],[Clase]],$G$6:G21,"M"),"")</f>
        <v/>
      </c>
      <c r="T21" s="183" t="str">
        <f>IF(G21="M",IF(Tabla1561217[[#This Row],[Tiempo]]="AB","",LOOKUP(Tabla1561217[[#This Row],[CLAS CLASE2]],'Datos puntos'!$A$25:$A$53,'Datos puntos'!$B$25:$B$53)),"")</f>
        <v/>
      </c>
      <c r="U21" s="183" t="str">
        <f>IF(Tabla1561217[[#This Row],[Puntos scratch3]]="","NO PUNTÚA",SUM(Tabla1561217[[#This Row],[Puntos scratch3]],Tabla1561217[[#This Row],[Puntos clase5]])*2)</f>
        <v>NO PUNTÚA</v>
      </c>
    </row>
    <row r="22" spans="1:24" x14ac:dyDescent="0.35">
      <c r="A22" s="176">
        <v>17</v>
      </c>
      <c r="B22" s="176">
        <v>35</v>
      </c>
      <c r="C22" s="268" t="s">
        <v>171</v>
      </c>
      <c r="D22" s="179" t="s">
        <v>367</v>
      </c>
      <c r="E22" s="179" t="s">
        <v>168</v>
      </c>
      <c r="F22" s="179" t="s">
        <v>424</v>
      </c>
      <c r="G22" s="179" t="s">
        <v>432</v>
      </c>
      <c r="H22" s="179" t="s">
        <v>415</v>
      </c>
      <c r="I22" s="180" t="s">
        <v>24</v>
      </c>
      <c r="J22" s="180">
        <v>5</v>
      </c>
      <c r="K22" s="181"/>
      <c r="L22" s="183">
        <f>IF(AND(E22="M",Tabla1561217[[#This Row],[POS]]&lt;&gt;"AB",Tabla1561217[[#This Row],[POS]]&lt;&gt;"DSQ"),COUNTIF($E$6:E22,"M"),"")</f>
        <v>16</v>
      </c>
      <c r="M22" s="183">
        <f>IF(E22="M",IF(Tabla1561217[[#This Row],[Tiempo]]="AB","",LOOKUP(Tabla1561217[[#This Row],[CLAS SCRATCH]],'Datos puntos'!$A$2:$A$23,'Datos puntos'!$B$2:$B$23)),"")</f>
        <v>0</v>
      </c>
      <c r="N22" s="183">
        <f>IF(AND(E22="M",Tabla1561217[[#This Row],[POS]]&lt;&gt;"AB",Tabla1561217[[#This Row],[POS]]&lt;&gt;"DSQ"),COUNTIFS($J$6:J22,Tabla1561217[[#This Row],[Clase]],$E$6:E22,"M"),"")</f>
        <v>4</v>
      </c>
      <c r="O22" s="183">
        <f>IF(E22="M",IF(Tabla1561217[[#This Row],[Tiempo]]="AB","",LOOKUP(Tabla1561217[[#This Row],[CLAS CLASE]],'Datos puntos'!$A$25:$A$53,'Datos puntos'!$B$25:$B$53)),"")</f>
        <v>5</v>
      </c>
      <c r="P22" s="183">
        <f>IF(Tabla1561217[[#This Row],[Puntos scratch]]="","NO PUNTÚA",SUM(Tabla1561217[[#This Row],[Puntos scratch]],Tabla1561217[[#This Row],[Puntos clase]])*2)</f>
        <v>10</v>
      </c>
      <c r="Q22" s="183" t="str">
        <f>IF(AND(G22="M",Tabla1561217[[#This Row],[POS]]&lt;&gt;"AB",Tabla1561217[[#This Row],[POS]]&lt;&gt;"DSQ"),COUNTIF($G$6:G22,"M"),"")</f>
        <v/>
      </c>
      <c r="R22" s="183" t="str">
        <f>IF(G22="M",IF(Tabla1561217[[#This Row],[Tiempo]]="AB","",LOOKUP(Tabla1561217[[#This Row],[CLAS SCRATCH2]],'Datos puntos'!$A$2:$A$23,'Datos puntos'!$B$2:$B$23)),"")</f>
        <v/>
      </c>
      <c r="S22" s="183" t="str">
        <f>IF(AND(G22="M",Tabla1561217[[#This Row],[POS]]&lt;&gt;"AB",Tabla1561217[[#This Row],[POS]]&lt;&gt;"DSQ"),COUNTIFS($J$6:J22,Tabla1561217[[#This Row],[Clase]],$G$6:G22,"M"),"")</f>
        <v/>
      </c>
      <c r="T22" s="183" t="str">
        <f>IF(G22="M",IF(Tabla1561217[[#This Row],[Tiempo]]="AB","",LOOKUP(Tabla1561217[[#This Row],[CLAS CLASE2]],'Datos puntos'!$A$25:$A$53,'Datos puntos'!$B$25:$B$53)),"")</f>
        <v/>
      </c>
      <c r="U22" s="183" t="str">
        <f>IF(Tabla1561217[[#This Row],[Puntos scratch3]]="","NO PUNTÚA",SUM(Tabla1561217[[#This Row],[Puntos scratch3]],Tabla1561217[[#This Row],[Puntos clase5]])*2)</f>
        <v>NO PUNTÚA</v>
      </c>
    </row>
    <row r="23" spans="1:24" x14ac:dyDescent="0.35">
      <c r="A23" s="176">
        <v>18</v>
      </c>
      <c r="B23" s="176">
        <v>15</v>
      </c>
      <c r="C23" s="179" t="s">
        <v>189</v>
      </c>
      <c r="D23" s="179" t="s">
        <v>407</v>
      </c>
      <c r="E23" s="179" t="s">
        <v>432</v>
      </c>
      <c r="F23" s="179" t="s">
        <v>425</v>
      </c>
      <c r="G23" s="179" t="s">
        <v>432</v>
      </c>
      <c r="H23" s="179" t="s">
        <v>416</v>
      </c>
      <c r="I23" s="180" t="s">
        <v>24</v>
      </c>
      <c r="J23" s="180">
        <v>2</v>
      </c>
      <c r="K23" s="181"/>
      <c r="L23" s="183" t="str">
        <f>IF(AND(E23="M",Tabla1561217[[#This Row],[POS]]&lt;&gt;"AB",Tabla1561217[[#This Row],[POS]]&lt;&gt;"DSQ"),COUNTIF($E$6:E23,"M"),"")</f>
        <v/>
      </c>
      <c r="M23" s="183" t="str">
        <f>IF(E23="M",IF(Tabla1561217[[#This Row],[Tiempo]]="AB","",LOOKUP(Tabla1561217[[#This Row],[CLAS SCRATCH]],'Datos puntos'!$A$2:$A$23,'Datos puntos'!$B$2:$B$23)),"")</f>
        <v/>
      </c>
      <c r="N23" s="183" t="str">
        <f>IF(AND(E23="M",Tabla1561217[[#This Row],[POS]]&lt;&gt;"AB",Tabla1561217[[#This Row],[POS]]&lt;&gt;"DSQ"),COUNTIFS($J$6:J23,Tabla1561217[[#This Row],[Clase]],$E$6:E23,"M"),"")</f>
        <v/>
      </c>
      <c r="O23" s="183" t="str">
        <f>IF(E23="M",IF(Tabla1561217[[#This Row],[Tiempo]]="AB","",LOOKUP(Tabla1561217[[#This Row],[CLAS CLASE]],'Datos puntos'!$A$25:$A$53,'Datos puntos'!$B$25:$B$53)),"")</f>
        <v/>
      </c>
      <c r="P23" s="183" t="str">
        <f>IF(Tabla1561217[[#This Row],[Puntos scratch]]="","NO PUNTÚA",SUM(Tabla1561217[[#This Row],[Puntos scratch]],Tabla1561217[[#This Row],[Puntos clase]])*2)</f>
        <v>NO PUNTÚA</v>
      </c>
      <c r="Q23" s="183" t="str">
        <f>IF(AND(G23="M",Tabla1561217[[#This Row],[POS]]&lt;&gt;"AB",Tabla1561217[[#This Row],[POS]]&lt;&gt;"DSQ"),COUNTIF($G$6:G23,"M"),"")</f>
        <v/>
      </c>
      <c r="R23" s="183" t="str">
        <f>IF(G23="M",IF(Tabla1561217[[#This Row],[Tiempo]]="AB","",LOOKUP(Tabla1561217[[#This Row],[CLAS SCRATCH2]],'Datos puntos'!$A$2:$A$23,'Datos puntos'!$B$2:$B$23)),"")</f>
        <v/>
      </c>
      <c r="S23" s="183" t="str">
        <f>IF(AND(G23="M",Tabla1561217[[#This Row],[POS]]&lt;&gt;"AB",Tabla1561217[[#This Row],[POS]]&lt;&gt;"DSQ"),COUNTIFS($J$6:J23,Tabla1561217[[#This Row],[Clase]],$G$6:G23,"M"),"")</f>
        <v/>
      </c>
      <c r="T23" s="183" t="str">
        <f>IF(G23="M",IF(Tabla1561217[[#This Row],[Tiempo]]="AB","",LOOKUP(Tabla1561217[[#This Row],[CLAS CLASE2]],'Datos puntos'!$A$25:$A$53,'Datos puntos'!$B$25:$B$53)),"")</f>
        <v/>
      </c>
      <c r="U23" s="183" t="str">
        <f>IF(Tabla1561217[[#This Row],[Puntos scratch3]]="","NO PUNTÚA",SUM(Tabla1561217[[#This Row],[Puntos scratch3]],Tabla1561217[[#This Row],[Puntos clase5]])*2)</f>
        <v>NO PUNTÚA</v>
      </c>
    </row>
    <row r="24" spans="1:24" x14ac:dyDescent="0.35">
      <c r="A24" s="176">
        <v>19</v>
      </c>
      <c r="B24" s="176">
        <v>38</v>
      </c>
      <c r="C24" s="268" t="s">
        <v>402</v>
      </c>
      <c r="D24" s="179" t="s">
        <v>252</v>
      </c>
      <c r="E24" s="179" t="s">
        <v>168</v>
      </c>
      <c r="F24" s="179" t="s">
        <v>377</v>
      </c>
      <c r="G24" s="179" t="s">
        <v>168</v>
      </c>
      <c r="H24" s="179" t="s">
        <v>177</v>
      </c>
      <c r="I24" s="180" t="s">
        <v>24</v>
      </c>
      <c r="J24" s="180">
        <v>5</v>
      </c>
      <c r="K24" s="181"/>
      <c r="L24" s="183">
        <f>IF(AND(E24="M",Tabla1561217[[#This Row],[POS]]&lt;&gt;"AB",Tabla1561217[[#This Row],[POS]]&lt;&gt;"DSQ"),COUNTIF($E$6:E24,"M"),"")</f>
        <v>17</v>
      </c>
      <c r="M24" s="183">
        <f>IF(E24="M",IF(Tabla1561217[[#This Row],[Tiempo]]="AB","",LOOKUP(Tabla1561217[[#This Row],[CLAS SCRATCH]],'Datos puntos'!$A$2:$A$23,'Datos puntos'!$B$2:$B$23)),"")</f>
        <v>0</v>
      </c>
      <c r="N24" s="183">
        <f>IF(AND(E24="M",Tabla1561217[[#This Row],[POS]]&lt;&gt;"AB",Tabla1561217[[#This Row],[POS]]&lt;&gt;"DSQ"),COUNTIFS($J$6:J24,Tabla1561217[[#This Row],[Clase]],$E$6:E24,"M"),"")</f>
        <v>5</v>
      </c>
      <c r="O24" s="183">
        <f>IF(E24="M",IF(Tabla1561217[[#This Row],[Tiempo]]="AB","",LOOKUP(Tabla1561217[[#This Row],[CLAS CLASE]],'Datos puntos'!$A$25:$A$53,'Datos puntos'!$B$25:$B$53)),"")</f>
        <v>3</v>
      </c>
      <c r="P24" s="183">
        <f>IF(Tabla1561217[[#This Row],[Puntos scratch]]="","NO PUNTÚA",SUM(Tabla1561217[[#This Row],[Puntos scratch]],Tabla1561217[[#This Row],[Puntos clase]])*2)</f>
        <v>6</v>
      </c>
      <c r="Q24" s="183">
        <f>IF(AND(G24="M",Tabla1561217[[#This Row],[POS]]&lt;&gt;"AB",Tabla1561217[[#This Row],[POS]]&lt;&gt;"DSQ"),COUNTIF($G$6:G24,"M"),"")</f>
        <v>13</v>
      </c>
      <c r="R24" s="183">
        <f>IF(G24="M",IF(Tabla1561217[[#This Row],[Tiempo]]="AB","",LOOKUP(Tabla1561217[[#This Row],[CLAS SCRATCH2]],'Datos puntos'!$A$2:$A$23,'Datos puntos'!$B$2:$B$23)),"")</f>
        <v>1</v>
      </c>
      <c r="S24" s="183">
        <f>IF(AND(G24="M",Tabla1561217[[#This Row],[POS]]&lt;&gt;"AB",Tabla1561217[[#This Row],[POS]]&lt;&gt;"DSQ"),COUNTIFS($J$6:J24,Tabla1561217[[#This Row],[Clase]],$G$6:G24,"M"),"")</f>
        <v>4</v>
      </c>
      <c r="T24" s="183">
        <f>IF(G24="M",IF(Tabla1561217[[#This Row],[Tiempo]]="AB","",LOOKUP(Tabla1561217[[#This Row],[CLAS CLASE2]],'Datos puntos'!$A$25:$A$53,'Datos puntos'!$B$25:$B$53)),"")</f>
        <v>5</v>
      </c>
      <c r="U24" s="183">
        <f>IF(Tabla1561217[[#This Row],[Puntos scratch3]]="","NO PUNTÚA",SUM(Tabla1561217[[#This Row],[Puntos scratch3]],Tabla1561217[[#This Row],[Puntos clase5]])*2)</f>
        <v>12</v>
      </c>
    </row>
    <row r="25" spans="1:24" x14ac:dyDescent="0.35">
      <c r="A25" s="176">
        <v>20</v>
      </c>
      <c r="B25" s="176">
        <v>37</v>
      </c>
      <c r="C25" s="179" t="s">
        <v>189</v>
      </c>
      <c r="D25" s="179" t="s">
        <v>391</v>
      </c>
      <c r="E25" s="179" t="s">
        <v>432</v>
      </c>
      <c r="F25" s="179" t="s">
        <v>426</v>
      </c>
      <c r="G25" s="179" t="s">
        <v>432</v>
      </c>
      <c r="H25" s="179" t="s">
        <v>178</v>
      </c>
      <c r="I25" s="180" t="s">
        <v>24</v>
      </c>
      <c r="J25" s="180">
        <v>5</v>
      </c>
      <c r="K25" s="181"/>
      <c r="L25" s="183" t="str">
        <f>IF(AND(E25="M",Tabla1561217[[#This Row],[POS]]&lt;&gt;"AB",Tabla1561217[[#This Row],[POS]]&lt;&gt;"DSQ"),COUNTIF($E$6:E25,"M"),"")</f>
        <v/>
      </c>
      <c r="M25" s="183" t="str">
        <f>IF(E25="M",IF(Tabla1561217[[#This Row],[Tiempo]]="AB","",LOOKUP(Tabla1561217[[#This Row],[CLAS SCRATCH]],'Datos puntos'!$A$2:$A$23,'Datos puntos'!$B$2:$B$23)),"")</f>
        <v/>
      </c>
      <c r="N25" s="183" t="str">
        <f>IF(AND(E25="M",Tabla1561217[[#This Row],[POS]]&lt;&gt;"AB",Tabla1561217[[#This Row],[POS]]&lt;&gt;"DSQ"),COUNTIFS($J$6:J25,Tabla1561217[[#This Row],[Clase]],$E$6:E25,"M"),"")</f>
        <v/>
      </c>
      <c r="O25" s="183" t="str">
        <f>IF(E25="M",IF(Tabla1561217[[#This Row],[Tiempo]]="AB","",LOOKUP(Tabla1561217[[#This Row],[CLAS CLASE]],'Datos puntos'!$A$25:$A$53,'Datos puntos'!$B$25:$B$53)),"")</f>
        <v/>
      </c>
      <c r="P25" s="183" t="str">
        <f>IF(Tabla1561217[[#This Row],[Puntos scratch]]="","NO PUNTÚA",SUM(Tabla1561217[[#This Row],[Puntos scratch]],Tabla1561217[[#This Row],[Puntos clase]])*2)</f>
        <v>NO PUNTÚA</v>
      </c>
      <c r="Q25" s="183" t="str">
        <f>IF(AND(G25="M",Tabla1561217[[#This Row],[POS]]&lt;&gt;"AB",Tabla1561217[[#This Row],[POS]]&lt;&gt;"DSQ"),COUNTIF($G$6:G25,"M"),"")</f>
        <v/>
      </c>
      <c r="R25" s="183" t="str">
        <f>IF(G25="M",IF(Tabla1561217[[#This Row],[Tiempo]]="AB","",LOOKUP(Tabla1561217[[#This Row],[CLAS SCRATCH2]],'Datos puntos'!$A$2:$A$23,'Datos puntos'!$B$2:$B$23)),"")</f>
        <v/>
      </c>
      <c r="S25" s="183" t="str">
        <f>IF(AND(G25="M",Tabla1561217[[#This Row],[POS]]&lt;&gt;"AB",Tabla1561217[[#This Row],[POS]]&lt;&gt;"DSQ"),COUNTIFS($J$6:J25,Tabla1561217[[#This Row],[Clase]],$G$6:G25,"M"),"")</f>
        <v/>
      </c>
      <c r="T25" s="183" t="str">
        <f>IF(G25="M",IF(Tabla1561217[[#This Row],[Tiempo]]="AB","",LOOKUP(Tabla1561217[[#This Row],[CLAS CLASE2]],'Datos puntos'!$A$25:$A$53,'Datos puntos'!$B$25:$B$53)),"")</f>
        <v/>
      </c>
      <c r="U25" s="183" t="str">
        <f>IF(Tabla1561217[[#This Row],[Puntos scratch3]]="","NO PUNTÚA",SUM(Tabla1561217[[#This Row],[Puntos scratch3]],Tabla1561217[[#This Row],[Puntos clase5]])*2)</f>
        <v>NO PUNTÚA</v>
      </c>
    </row>
    <row r="26" spans="1:24" x14ac:dyDescent="0.35">
      <c r="A26" s="176">
        <v>21</v>
      </c>
      <c r="B26" s="176">
        <v>34</v>
      </c>
      <c r="C26" s="179" t="s">
        <v>189</v>
      </c>
      <c r="D26" s="179" t="s">
        <v>319</v>
      </c>
      <c r="E26" s="179" t="s">
        <v>168</v>
      </c>
      <c r="F26" s="179" t="s">
        <v>320</v>
      </c>
      <c r="G26" s="179" t="s">
        <v>168</v>
      </c>
      <c r="H26" s="179" t="s">
        <v>417</v>
      </c>
      <c r="I26" s="180" t="s">
        <v>24</v>
      </c>
      <c r="J26" s="180">
        <v>3</v>
      </c>
      <c r="K26" s="181"/>
      <c r="L26" s="183">
        <f>IF(AND(E26="M",Tabla1561217[[#This Row],[POS]]&lt;&gt;"AB",Tabla1561217[[#This Row],[POS]]&lt;&gt;"DSQ"),COUNTIF($E$6:E26,"M"),"")</f>
        <v>18</v>
      </c>
      <c r="M26" s="183">
        <f>IF(E26="M",IF(Tabla1561217[[#This Row],[Tiempo]]="AB","",LOOKUP(Tabla1561217[[#This Row],[CLAS SCRATCH]],'Datos puntos'!$A$2:$A$23,'Datos puntos'!$B$2:$B$23)),"")</f>
        <v>0</v>
      </c>
      <c r="N26" s="183">
        <f>IF(AND(E26="M",Tabla1561217[[#This Row],[POS]]&lt;&gt;"AB",Tabla1561217[[#This Row],[POS]]&lt;&gt;"DSQ"),COUNTIFS($J$6:J26,Tabla1561217[[#This Row],[Clase]],$E$6:E26,"M"),"")</f>
        <v>3</v>
      </c>
      <c r="O26" s="183">
        <f>IF(E26="M",IF(Tabla1561217[[#This Row],[Tiempo]]="AB","",LOOKUP(Tabla1561217[[#This Row],[CLAS CLASE]],'Datos puntos'!$A$25:$A$53,'Datos puntos'!$B$25:$B$53)),"")</f>
        <v>6</v>
      </c>
      <c r="P26" s="183">
        <f>IF(Tabla1561217[[#This Row],[Puntos scratch]]="","NO PUNTÚA",SUM(Tabla1561217[[#This Row],[Puntos scratch]],Tabla1561217[[#This Row],[Puntos clase]])*2)</f>
        <v>12</v>
      </c>
      <c r="Q26" s="183">
        <f>IF(AND(G26="M",Tabla1561217[[#This Row],[POS]]&lt;&gt;"AB",Tabla1561217[[#This Row],[POS]]&lt;&gt;"DSQ"),COUNTIF($G$6:G26,"M"),"")</f>
        <v>14</v>
      </c>
      <c r="R26" s="183">
        <f>IF(G26="M",IF(Tabla1561217[[#This Row],[Tiempo]]="AB","",LOOKUP(Tabla1561217[[#This Row],[CLAS SCRATCH2]],'Datos puntos'!$A$2:$A$23,'Datos puntos'!$B$2:$B$23)),"")</f>
        <v>0</v>
      </c>
      <c r="S26" s="183">
        <f>IF(AND(G26="M",Tabla1561217[[#This Row],[POS]]&lt;&gt;"AB",Tabla1561217[[#This Row],[POS]]&lt;&gt;"DSQ"),COUNTIFS($J$6:J26,Tabla1561217[[#This Row],[Clase]],$G$6:G26,"M"),"")</f>
        <v>2</v>
      </c>
      <c r="T26" s="183">
        <f>IF(G26="M",IF(Tabla1561217[[#This Row],[Tiempo]]="AB","",LOOKUP(Tabla1561217[[#This Row],[CLAS CLASE2]],'Datos puntos'!$A$25:$A$53,'Datos puntos'!$B$25:$B$53)),"")</f>
        <v>8</v>
      </c>
      <c r="U26" s="183">
        <f>IF(Tabla1561217[[#This Row],[Puntos scratch3]]="","NO PUNTÚA",SUM(Tabla1561217[[#This Row],[Puntos scratch3]],Tabla1561217[[#This Row],[Puntos clase5]])*2)</f>
        <v>16</v>
      </c>
    </row>
    <row r="27" spans="1:24" x14ac:dyDescent="0.35">
      <c r="A27" s="176" t="s">
        <v>179</v>
      </c>
      <c r="B27" s="176">
        <v>6</v>
      </c>
      <c r="C27" s="269" t="s">
        <v>401</v>
      </c>
      <c r="D27" s="179" t="s">
        <v>225</v>
      </c>
      <c r="E27" s="179" t="s">
        <v>168</v>
      </c>
      <c r="F27" s="179" t="s">
        <v>233</v>
      </c>
      <c r="G27" s="179" t="s">
        <v>168</v>
      </c>
      <c r="H27" s="179" t="s">
        <v>418</v>
      </c>
      <c r="I27" s="180" t="s">
        <v>200</v>
      </c>
      <c r="J27" s="180">
        <v>1</v>
      </c>
      <c r="K27" s="181"/>
      <c r="L27" s="183" t="str">
        <f>IF(AND(E27="M",Tabla1561217[[#This Row],[POS]]&lt;&gt;"AB",Tabla1561217[[#This Row],[POS]]&lt;&gt;"DSQ"),COUNTIF($E$6:E27,"M"),"")</f>
        <v/>
      </c>
      <c r="M27" s="183" t="e">
        <f>IF(E27="M",IF(Tabla1561217[[#This Row],[Tiempo]]="AB","",LOOKUP(Tabla1561217[[#This Row],[CLAS SCRATCH]],'Datos puntos'!$A$2:$A$23,'Datos puntos'!$B$2:$B$23)),"")</f>
        <v>#N/A</v>
      </c>
      <c r="N27" s="183" t="str">
        <f>IF(AND(E27="M",Tabla1561217[[#This Row],[POS]]&lt;&gt;"AB",Tabla1561217[[#This Row],[POS]]&lt;&gt;"DSQ"),COUNTIFS($J$6:J27,Tabla1561217[[#This Row],[Clase]],$E$6:E27,"M"),"")</f>
        <v/>
      </c>
      <c r="O27" s="183" t="e">
        <f>IF(E27="M",IF(Tabla1561217[[#This Row],[Tiempo]]="AB","",LOOKUP(Tabla1561217[[#This Row],[CLAS CLASE]],'Datos puntos'!$A$25:$A$53,'Datos puntos'!$B$25:$B$53)),"")</f>
        <v>#N/A</v>
      </c>
      <c r="P27" s="183" t="e">
        <f>IF(Tabla1561217[[#This Row],[Puntos scratch]]="","NO PUNTÚA",SUM(Tabla1561217[[#This Row],[Puntos scratch]],Tabla1561217[[#This Row],[Puntos clase]])*2)</f>
        <v>#N/A</v>
      </c>
      <c r="Q27" s="183" t="str">
        <f>IF(AND(G27="M",Tabla1561217[[#This Row],[POS]]&lt;&gt;"AB",Tabla1561217[[#This Row],[POS]]&lt;&gt;"DSQ"),COUNTIF($G$6:G27,"M"),"")</f>
        <v/>
      </c>
      <c r="R27" s="183" t="e">
        <f>IF(G27="M",IF(Tabla1561217[[#This Row],[Tiempo]]="AB","",LOOKUP(Tabla1561217[[#This Row],[CLAS SCRATCH2]],'Datos puntos'!$A$2:$A$23,'Datos puntos'!$B$2:$B$23)),"")</f>
        <v>#N/A</v>
      </c>
      <c r="S27" s="183" t="str">
        <f>IF(AND(G27="M",Tabla1561217[[#This Row],[POS]]&lt;&gt;"AB",Tabla1561217[[#This Row],[POS]]&lt;&gt;"DSQ"),COUNTIFS($J$6:J27,Tabla1561217[[#This Row],[Clase]],$G$6:G27,"M"),"")</f>
        <v/>
      </c>
      <c r="T27" s="183" t="e">
        <f>IF(G27="M",IF(Tabla1561217[[#This Row],[Tiempo]]="AB","",LOOKUP(Tabla1561217[[#This Row],[CLAS CLASE2]],'Datos puntos'!$A$25:$A$53,'Datos puntos'!$B$25:$B$53)),"")</f>
        <v>#N/A</v>
      </c>
      <c r="U27" s="183" t="e">
        <f>IF(Tabla1561217[[#This Row],[Puntos scratch3]]="","NO PUNTÚA",SUM(Tabla1561217[[#This Row],[Puntos scratch3]],Tabla1561217[[#This Row],[Puntos clase5]])*2)</f>
        <v>#N/A</v>
      </c>
    </row>
    <row r="28" spans="1:24" x14ac:dyDescent="0.35">
      <c r="A28" s="176" t="s">
        <v>179</v>
      </c>
      <c r="B28" s="176">
        <v>18</v>
      </c>
      <c r="C28" s="281" t="s">
        <v>232</v>
      </c>
      <c r="D28" s="179" t="s">
        <v>212</v>
      </c>
      <c r="E28" s="179" t="s">
        <v>168</v>
      </c>
      <c r="F28" s="179" t="s">
        <v>427</v>
      </c>
      <c r="G28" s="179" t="s">
        <v>432</v>
      </c>
      <c r="H28" s="179" t="s">
        <v>314</v>
      </c>
      <c r="I28" s="180" t="s">
        <v>24</v>
      </c>
      <c r="J28" s="180">
        <v>3</v>
      </c>
      <c r="K28" s="181"/>
      <c r="L28" s="183" t="str">
        <f>IF(AND(E28="M",Tabla1561217[[#This Row],[POS]]&lt;&gt;"AB",Tabla1561217[[#This Row],[POS]]&lt;&gt;"DSQ"),COUNTIF($E$6:E28,"M"),"")</f>
        <v/>
      </c>
      <c r="M28" s="183" t="e">
        <f>IF(E28="M",IF(Tabla1561217[[#This Row],[Tiempo]]="AB","",LOOKUP(Tabla1561217[[#This Row],[CLAS SCRATCH]],'Datos puntos'!$A$2:$A$23,'Datos puntos'!$B$2:$B$23)),"")</f>
        <v>#N/A</v>
      </c>
      <c r="N28" s="183" t="str">
        <f>IF(AND(E28="M",Tabla1561217[[#This Row],[POS]]&lt;&gt;"AB",Tabla1561217[[#This Row],[POS]]&lt;&gt;"DSQ"),COUNTIFS($J$6:J28,Tabla1561217[[#This Row],[Clase]],$E$6:E28,"M"),"")</f>
        <v/>
      </c>
      <c r="O28" s="183" t="e">
        <f>IF(E28="M",IF(Tabla1561217[[#This Row],[Tiempo]]="AB","",LOOKUP(Tabla1561217[[#This Row],[CLAS CLASE]],'Datos puntos'!$A$25:$A$53,'Datos puntos'!$B$25:$B$53)),"")</f>
        <v>#N/A</v>
      </c>
      <c r="P28" s="183" t="e">
        <f>IF(Tabla1561217[[#This Row],[Puntos scratch]]="","NO PUNTÚA",SUM(Tabla1561217[[#This Row],[Puntos scratch]],Tabla1561217[[#This Row],[Puntos clase]])*2)</f>
        <v>#N/A</v>
      </c>
      <c r="Q28" s="183" t="str">
        <f>IF(AND(G28="M",Tabla1561217[[#This Row],[POS]]&lt;&gt;"AB",Tabla1561217[[#This Row],[POS]]&lt;&gt;"DSQ"),COUNTIF($G$6:G28,"M"),"")</f>
        <v/>
      </c>
      <c r="R28" s="183" t="str">
        <f>IF(G28="M",IF(Tabla1561217[[#This Row],[Tiempo]]="AB","",LOOKUP(Tabla1561217[[#This Row],[CLAS SCRATCH2]],'Datos puntos'!$A$2:$A$23,'Datos puntos'!$B$2:$B$23)),"")</f>
        <v/>
      </c>
      <c r="S28" s="183" t="str">
        <f>IF(AND(G28="M",Tabla1561217[[#This Row],[POS]]&lt;&gt;"AB",Tabla1561217[[#This Row],[POS]]&lt;&gt;"DSQ"),COUNTIFS($J$6:J28,Tabla1561217[[#This Row],[Clase]],$G$6:G28,"M"),"")</f>
        <v/>
      </c>
      <c r="T28" s="183" t="str">
        <f>IF(G28="M",IF(Tabla1561217[[#This Row],[Tiempo]]="AB","",LOOKUP(Tabla1561217[[#This Row],[CLAS CLASE2]],'Datos puntos'!$A$25:$A$53,'Datos puntos'!$B$25:$B$53)),"")</f>
        <v/>
      </c>
      <c r="U28" s="183" t="str">
        <f>IF(Tabla1561217[[#This Row],[Puntos scratch3]]="","NO PUNTÚA",SUM(Tabla1561217[[#This Row],[Puntos scratch3]],Tabla1561217[[#This Row],[Puntos clase5]])*2)</f>
        <v>NO PUNTÚA</v>
      </c>
    </row>
    <row r="29" spans="1:24" x14ac:dyDescent="0.35">
      <c r="A29" s="176" t="s">
        <v>179</v>
      </c>
      <c r="B29" s="176">
        <v>19</v>
      </c>
      <c r="C29" s="179" t="s">
        <v>403</v>
      </c>
      <c r="D29" s="179" t="s">
        <v>242</v>
      </c>
      <c r="E29" s="179" t="s">
        <v>168</v>
      </c>
      <c r="F29" s="179" t="s">
        <v>243</v>
      </c>
      <c r="G29" s="179" t="s">
        <v>168</v>
      </c>
      <c r="H29" s="179" t="s">
        <v>314</v>
      </c>
      <c r="I29" s="180" t="s">
        <v>24</v>
      </c>
      <c r="J29" s="180">
        <v>3</v>
      </c>
      <c r="K29" s="181"/>
      <c r="L29" s="183" t="str">
        <f>IF(AND(E29="M",Tabla1561217[[#This Row],[POS]]&lt;&gt;"AB",Tabla1561217[[#This Row],[POS]]&lt;&gt;"DSQ"),COUNTIF($E$6:E29,"M"),"")</f>
        <v/>
      </c>
      <c r="M29" s="183" t="e">
        <f>IF(E29="M",IF(Tabla1561217[[#This Row],[Tiempo]]="AB","",LOOKUP(Tabla1561217[[#This Row],[CLAS SCRATCH]],'Datos puntos'!$A$2:$A$23,'Datos puntos'!$B$2:$B$23)),"")</f>
        <v>#N/A</v>
      </c>
      <c r="N29" s="183" t="str">
        <f>IF(AND(E29="M",Tabla1561217[[#This Row],[POS]]&lt;&gt;"AB",Tabla1561217[[#This Row],[POS]]&lt;&gt;"DSQ"),COUNTIFS($J$6:J29,Tabla1561217[[#This Row],[Clase]],$E$6:E29,"M"),"")</f>
        <v/>
      </c>
      <c r="O29" s="183" t="e">
        <f>IF(E29="M",IF(Tabla1561217[[#This Row],[Tiempo]]="AB","",LOOKUP(Tabla1561217[[#This Row],[CLAS CLASE]],'Datos puntos'!$A$25:$A$53,'Datos puntos'!$B$25:$B$53)),"")</f>
        <v>#N/A</v>
      </c>
      <c r="P29" s="183" t="e">
        <f>IF(Tabla1561217[[#This Row],[Puntos scratch]]="","NO PUNTÚA",SUM(Tabla1561217[[#This Row],[Puntos scratch]],Tabla1561217[[#This Row],[Puntos clase]])*2)</f>
        <v>#N/A</v>
      </c>
      <c r="Q29" s="183" t="str">
        <f>IF(AND(G29="M",Tabla1561217[[#This Row],[POS]]&lt;&gt;"AB",Tabla1561217[[#This Row],[POS]]&lt;&gt;"DSQ"),COUNTIF($G$6:G29,"M"),"")</f>
        <v/>
      </c>
      <c r="R29" s="183" t="e">
        <f>IF(G29="M",IF(Tabla1561217[[#This Row],[Tiempo]]="AB","",LOOKUP(Tabla1561217[[#This Row],[CLAS SCRATCH2]],'Datos puntos'!$A$2:$A$23,'Datos puntos'!$B$2:$B$23)),"")</f>
        <v>#N/A</v>
      </c>
      <c r="S29" s="183" t="str">
        <f>IF(AND(G29="M",Tabla1561217[[#This Row],[POS]]&lt;&gt;"AB",Tabla1561217[[#This Row],[POS]]&lt;&gt;"DSQ"),COUNTIFS($J$6:J29,Tabla1561217[[#This Row],[Clase]],$G$6:G29,"M"),"")</f>
        <v/>
      </c>
      <c r="T29" s="183" t="e">
        <f>IF(G29="M",IF(Tabla1561217[[#This Row],[Tiempo]]="AB","",LOOKUP(Tabla1561217[[#This Row],[CLAS CLASE2]],'Datos puntos'!$A$25:$A$53,'Datos puntos'!$B$25:$B$53)),"")</f>
        <v>#N/A</v>
      </c>
      <c r="U29" s="183" t="e">
        <f>IF(Tabla1561217[[#This Row],[Puntos scratch3]]="","NO PUNTÚA",SUM(Tabla1561217[[#This Row],[Puntos scratch3]],Tabla1561217[[#This Row],[Puntos clase5]])*2)</f>
        <v>#N/A</v>
      </c>
    </row>
    <row r="30" spans="1:24" x14ac:dyDescent="0.35">
      <c r="A30" s="176" t="s">
        <v>179</v>
      </c>
      <c r="B30" s="176">
        <v>21</v>
      </c>
      <c r="C30" s="179" t="s">
        <v>232</v>
      </c>
      <c r="D30" s="179" t="s">
        <v>315</v>
      </c>
      <c r="E30" s="179" t="s">
        <v>173</v>
      </c>
      <c r="F30" s="179" t="s">
        <v>316</v>
      </c>
      <c r="G30" s="179" t="s">
        <v>173</v>
      </c>
      <c r="H30" s="179" t="s">
        <v>314</v>
      </c>
      <c r="I30" s="180" t="s">
        <v>24</v>
      </c>
      <c r="J30" s="180">
        <v>3</v>
      </c>
      <c r="K30" s="181"/>
      <c r="L30" s="183" t="str">
        <f>IF(AND(E30="M",Tabla1561217[[#This Row],[POS]]&lt;&gt;"AB",Tabla1561217[[#This Row],[POS]]&lt;&gt;"DSQ"),COUNTIF($E$6:E30,"M"),"")</f>
        <v/>
      </c>
      <c r="M30" s="183" t="str">
        <f>IF(E30="M",IF(Tabla1561217[[#This Row],[Tiempo]]="AB","",LOOKUP(Tabla1561217[[#This Row],[CLAS SCRATCH]],'Datos puntos'!$A$2:$A$23,'Datos puntos'!$B$2:$B$23)),"")</f>
        <v/>
      </c>
      <c r="N30" s="183" t="str">
        <f>IF(AND(E30="M",Tabla1561217[[#This Row],[POS]]&lt;&gt;"AB",Tabla1561217[[#This Row],[POS]]&lt;&gt;"DSQ"),COUNTIFS($J$6:J30,Tabla1561217[[#This Row],[Clase]],$E$6:E30,"M"),"")</f>
        <v/>
      </c>
      <c r="O30" s="183" t="str">
        <f>IF(E30="M",IF(Tabla1561217[[#This Row],[Tiempo]]="AB","",LOOKUP(Tabla1561217[[#This Row],[CLAS CLASE]],'Datos puntos'!$A$25:$A$53,'Datos puntos'!$B$25:$B$53)),"")</f>
        <v/>
      </c>
      <c r="P30" s="183" t="str">
        <f>IF(Tabla1561217[[#This Row],[Puntos scratch]]="","NO PUNTÚA",SUM(Tabla1561217[[#This Row],[Puntos scratch]],Tabla1561217[[#This Row],[Puntos clase]])*2)</f>
        <v>NO PUNTÚA</v>
      </c>
      <c r="Q30" s="183" t="str">
        <f>IF(AND(G30="M",Tabla1561217[[#This Row],[POS]]&lt;&gt;"AB",Tabla1561217[[#This Row],[POS]]&lt;&gt;"DSQ"),COUNTIF($G$6:G30,"M"),"")</f>
        <v/>
      </c>
      <c r="R30" s="183" t="str">
        <f>IF(G30="M",IF(Tabla1561217[[#This Row],[Tiempo]]="AB","",LOOKUP(Tabla1561217[[#This Row],[CLAS SCRATCH2]],'Datos puntos'!$A$2:$A$23,'Datos puntos'!$B$2:$B$23)),"")</f>
        <v/>
      </c>
      <c r="S30" s="183" t="str">
        <f>IF(AND(G30="M",Tabla1561217[[#This Row],[POS]]&lt;&gt;"AB",Tabla1561217[[#This Row],[POS]]&lt;&gt;"DSQ"),COUNTIFS($J$6:J30,Tabla1561217[[#This Row],[Clase]],$G$6:G30,"M"),"")</f>
        <v/>
      </c>
      <c r="T30" s="183" t="str">
        <f>IF(G30="M",IF(Tabla1561217[[#This Row],[Tiempo]]="AB","",LOOKUP(Tabla1561217[[#This Row],[CLAS CLASE2]],'Datos puntos'!$A$25:$A$53,'Datos puntos'!$B$25:$B$53)),"")</f>
        <v/>
      </c>
      <c r="U30" s="183" t="str">
        <f>IF(Tabla1561217[[#This Row],[Puntos scratch3]]="","NO PUNTÚA",SUM(Tabla1561217[[#This Row],[Puntos scratch3]],Tabla1561217[[#This Row],[Puntos clase5]])*2)</f>
        <v>NO PUNTÚA</v>
      </c>
    </row>
    <row r="31" spans="1:24" x14ac:dyDescent="0.35">
      <c r="A31" s="176" t="s">
        <v>179</v>
      </c>
      <c r="B31" s="176">
        <v>22</v>
      </c>
      <c r="C31" s="179" t="s">
        <v>171</v>
      </c>
      <c r="D31" s="179" t="s">
        <v>408</v>
      </c>
      <c r="E31" s="179" t="s">
        <v>432</v>
      </c>
      <c r="F31" s="179" t="s">
        <v>374</v>
      </c>
      <c r="G31" s="179" t="s">
        <v>168</v>
      </c>
      <c r="H31" s="179" t="s">
        <v>419</v>
      </c>
      <c r="I31" s="180" t="s">
        <v>24</v>
      </c>
      <c r="J31" s="180">
        <v>2</v>
      </c>
      <c r="K31" s="181"/>
      <c r="L31" s="183" t="str">
        <f>IF(AND(E31="M",Tabla1561217[[#This Row],[POS]]&lt;&gt;"AB",Tabla1561217[[#This Row],[POS]]&lt;&gt;"DSQ"),COUNTIF($E$6:E31,"M"),"")</f>
        <v/>
      </c>
      <c r="M31" s="183" t="str">
        <f>IF(E31="M",IF(Tabla1561217[[#This Row],[Tiempo]]="AB","",LOOKUP(Tabla1561217[[#This Row],[CLAS SCRATCH]],'Datos puntos'!$A$2:$A$23,'Datos puntos'!$B$2:$B$23)),"")</f>
        <v/>
      </c>
      <c r="N31" s="183" t="str">
        <f>IF(AND(E31="M",Tabla1561217[[#This Row],[POS]]&lt;&gt;"AB",Tabla1561217[[#This Row],[POS]]&lt;&gt;"DSQ"),COUNTIFS($J$6:J31,Tabla1561217[[#This Row],[Clase]],$E$6:E31,"M"),"")</f>
        <v/>
      </c>
      <c r="O31" s="183" t="str">
        <f>IF(E31="M",IF(Tabla1561217[[#This Row],[Tiempo]]="AB","",LOOKUP(Tabla1561217[[#This Row],[CLAS CLASE]],'Datos puntos'!$A$25:$A$53,'Datos puntos'!$B$25:$B$53)),"")</f>
        <v/>
      </c>
      <c r="P31" s="183" t="str">
        <f>IF(Tabla1561217[[#This Row],[Puntos scratch]]="","NO PUNTÚA",SUM(Tabla1561217[[#This Row],[Puntos scratch]],Tabla1561217[[#This Row],[Puntos clase]])*2)</f>
        <v>NO PUNTÚA</v>
      </c>
      <c r="Q31" s="183" t="str">
        <f>IF(AND(G31="M",Tabla1561217[[#This Row],[POS]]&lt;&gt;"AB",Tabla1561217[[#This Row],[POS]]&lt;&gt;"DSQ"),COUNTIF($G$6:G31,"M"),"")</f>
        <v/>
      </c>
      <c r="R31" s="183" t="e">
        <f>IF(G31="M",IF(Tabla1561217[[#This Row],[Tiempo]]="AB","",LOOKUP(Tabla1561217[[#This Row],[CLAS SCRATCH2]],'Datos puntos'!$A$2:$A$23,'Datos puntos'!$B$2:$B$23)),"")</f>
        <v>#N/A</v>
      </c>
      <c r="S31" s="183" t="str">
        <f>IF(AND(G31="M",Tabla1561217[[#This Row],[POS]]&lt;&gt;"AB",Tabla1561217[[#This Row],[POS]]&lt;&gt;"DSQ"),COUNTIFS($J$6:J31,Tabla1561217[[#This Row],[Clase]],$G$6:G31,"M"),"")</f>
        <v/>
      </c>
      <c r="T31" s="183" t="e">
        <f>IF(G31="M",IF(Tabla1561217[[#This Row],[Tiempo]]="AB","",LOOKUP(Tabla1561217[[#This Row],[CLAS CLASE2]],'Datos puntos'!$A$25:$A$53,'Datos puntos'!$B$25:$B$53)),"")</f>
        <v>#N/A</v>
      </c>
      <c r="U31" s="183" t="e">
        <f>IF(Tabla1561217[[#This Row],[Puntos scratch3]]="","NO PUNTÚA",SUM(Tabla1561217[[#This Row],[Puntos scratch3]],Tabla1561217[[#This Row],[Puntos clase5]])*2)</f>
        <v>#N/A</v>
      </c>
    </row>
    <row r="32" spans="1:24" x14ac:dyDescent="0.35">
      <c r="A32" s="176" t="s">
        <v>179</v>
      </c>
      <c r="B32" s="176">
        <v>23</v>
      </c>
      <c r="C32" s="179" t="s">
        <v>189</v>
      </c>
      <c r="D32" s="179" t="s">
        <v>300</v>
      </c>
      <c r="E32" s="179" t="s">
        <v>168</v>
      </c>
      <c r="F32" s="179" t="s">
        <v>301</v>
      </c>
      <c r="G32" s="179" t="s">
        <v>168</v>
      </c>
      <c r="H32" s="179" t="s">
        <v>302</v>
      </c>
      <c r="I32" s="180" t="s">
        <v>24</v>
      </c>
      <c r="J32" s="180">
        <v>2</v>
      </c>
      <c r="K32" s="181"/>
      <c r="L32" s="183" t="str">
        <f>IF(AND(E32="M",Tabla1561217[[#This Row],[POS]]&lt;&gt;"AB",Tabla1561217[[#This Row],[POS]]&lt;&gt;"DSQ"),COUNTIF($E$6:E32,"M"),"")</f>
        <v/>
      </c>
      <c r="M32" s="183" t="e">
        <f>IF(E32="M",IF(Tabla1561217[[#This Row],[Tiempo]]="AB","",LOOKUP(Tabla1561217[[#This Row],[CLAS SCRATCH]],'Datos puntos'!$A$2:$A$23,'Datos puntos'!$B$2:$B$23)),"")</f>
        <v>#N/A</v>
      </c>
      <c r="N32" s="183" t="str">
        <f>IF(AND(E32="M",Tabla1561217[[#This Row],[POS]]&lt;&gt;"AB",Tabla1561217[[#This Row],[POS]]&lt;&gt;"DSQ"),COUNTIFS($J$6:J32,Tabla1561217[[#This Row],[Clase]],$E$6:E32,"M"),"")</f>
        <v/>
      </c>
      <c r="O32" s="183" t="e">
        <f>IF(E32="M",IF(Tabla1561217[[#This Row],[Tiempo]]="AB","",LOOKUP(Tabla1561217[[#This Row],[CLAS CLASE]],'Datos puntos'!$A$25:$A$53,'Datos puntos'!$B$25:$B$53)),"")</f>
        <v>#N/A</v>
      </c>
      <c r="P32" s="183" t="e">
        <f>IF(Tabla1561217[[#This Row],[Puntos scratch]]="","NO PUNTÚA",SUM(Tabla1561217[[#This Row],[Puntos scratch]],Tabla1561217[[#This Row],[Puntos clase]])*2)</f>
        <v>#N/A</v>
      </c>
      <c r="Q32" s="183" t="str">
        <f>IF(AND(G32="M",Tabla1561217[[#This Row],[POS]]&lt;&gt;"AB",Tabla1561217[[#This Row],[POS]]&lt;&gt;"DSQ"),COUNTIF($G$6:G32,"M"),"")</f>
        <v/>
      </c>
      <c r="R32" s="183" t="e">
        <f>IF(G32="M",IF(Tabla1561217[[#This Row],[Tiempo]]="AB","",LOOKUP(Tabla1561217[[#This Row],[CLAS SCRATCH2]],'Datos puntos'!$A$2:$A$23,'Datos puntos'!$B$2:$B$23)),"")</f>
        <v>#N/A</v>
      </c>
      <c r="S32" s="183" t="str">
        <f>IF(AND(G32="M",Tabla1561217[[#This Row],[POS]]&lt;&gt;"AB",Tabla1561217[[#This Row],[POS]]&lt;&gt;"DSQ"),COUNTIFS($J$6:J32,Tabla1561217[[#This Row],[Clase]],$G$6:G32,"M"),"")</f>
        <v/>
      </c>
      <c r="T32" s="183" t="e">
        <f>IF(G32="M",IF(Tabla1561217[[#This Row],[Tiempo]]="AB","",LOOKUP(Tabla1561217[[#This Row],[CLAS CLASE2]],'Datos puntos'!$A$25:$A$53,'Datos puntos'!$B$25:$B$53)),"")</f>
        <v>#N/A</v>
      </c>
      <c r="U32" s="183" t="e">
        <f>IF(Tabla1561217[[#This Row],[Puntos scratch3]]="","NO PUNTÚA",SUM(Tabla1561217[[#This Row],[Puntos scratch3]],Tabla1561217[[#This Row],[Puntos clase5]])*2)</f>
        <v>#N/A</v>
      </c>
    </row>
    <row r="33" spans="1:24" x14ac:dyDescent="0.35">
      <c r="A33" s="176" t="s">
        <v>179</v>
      </c>
      <c r="B33" s="176">
        <v>24</v>
      </c>
      <c r="C33" s="179" t="s">
        <v>189</v>
      </c>
      <c r="D33" s="179" t="s">
        <v>409</v>
      </c>
      <c r="E33" s="179" t="s">
        <v>432</v>
      </c>
      <c r="F33" s="179" t="s">
        <v>251</v>
      </c>
      <c r="G33" s="179" t="s">
        <v>168</v>
      </c>
      <c r="H33" s="179" t="s">
        <v>178</v>
      </c>
      <c r="I33" s="180" t="s">
        <v>24</v>
      </c>
      <c r="J33" s="180">
        <v>2</v>
      </c>
      <c r="K33" s="181"/>
      <c r="L33" s="183" t="str">
        <f>IF(AND(E33="M",Tabla1561217[[#This Row],[POS]]&lt;&gt;"AB",Tabla1561217[[#This Row],[POS]]&lt;&gt;"DSQ"),COUNTIF($E$6:E33,"M"),"")</f>
        <v/>
      </c>
      <c r="M33" s="183" t="str">
        <f>IF(E33="M",IF(Tabla1561217[[#This Row],[Tiempo]]="AB","",LOOKUP(Tabla1561217[[#This Row],[CLAS SCRATCH]],'Datos puntos'!$A$2:$A$23,'Datos puntos'!$B$2:$B$23)),"")</f>
        <v/>
      </c>
      <c r="N33" s="183" t="str">
        <f>IF(AND(E33="M",Tabla1561217[[#This Row],[POS]]&lt;&gt;"AB",Tabla1561217[[#This Row],[POS]]&lt;&gt;"DSQ"),COUNTIFS($J$6:J33,Tabla1561217[[#This Row],[Clase]],$E$6:E33,"M"),"")</f>
        <v/>
      </c>
      <c r="O33" s="183" t="str">
        <f>IF(E33="M",IF(Tabla1561217[[#This Row],[Tiempo]]="AB","",LOOKUP(Tabla1561217[[#This Row],[CLAS CLASE]],'Datos puntos'!$A$25:$A$53,'Datos puntos'!$B$25:$B$53)),"")</f>
        <v/>
      </c>
      <c r="P33" s="183" t="str">
        <f>IF(Tabla1561217[[#This Row],[Puntos scratch]]="","NO PUNTÚA",SUM(Tabla1561217[[#This Row],[Puntos scratch]],Tabla1561217[[#This Row],[Puntos clase]])*2)</f>
        <v>NO PUNTÚA</v>
      </c>
      <c r="Q33" s="183" t="str">
        <f>IF(AND(G33="M",Tabla1561217[[#This Row],[POS]]&lt;&gt;"AB",Tabla1561217[[#This Row],[POS]]&lt;&gt;"DSQ"),COUNTIF($G$6:G33,"M"),"")</f>
        <v/>
      </c>
      <c r="R33" s="183" t="e">
        <f>IF(G33="M",IF(Tabla1561217[[#This Row],[Tiempo]]="AB","",LOOKUP(Tabla1561217[[#This Row],[CLAS SCRATCH2]],'Datos puntos'!$A$2:$A$23,'Datos puntos'!$B$2:$B$23)),"")</f>
        <v>#N/A</v>
      </c>
      <c r="S33" s="183" t="str">
        <f>IF(AND(G33="M",Tabla1561217[[#This Row],[POS]]&lt;&gt;"AB",Tabla1561217[[#This Row],[POS]]&lt;&gt;"DSQ"),COUNTIFS($J$6:J33,Tabla1561217[[#This Row],[Clase]],$G$6:G33,"M"),"")</f>
        <v/>
      </c>
      <c r="T33" s="183" t="e">
        <f>IF(G33="M",IF(Tabla1561217[[#This Row],[Tiempo]]="AB","",LOOKUP(Tabla1561217[[#This Row],[CLAS CLASE2]],'Datos puntos'!$A$25:$A$53,'Datos puntos'!$B$25:$B$53)),"")</f>
        <v>#N/A</v>
      </c>
      <c r="U33" s="183" t="e">
        <f>IF(Tabla1561217[[#This Row],[Puntos scratch3]]="","NO PUNTÚA",SUM(Tabla1561217[[#This Row],[Puntos scratch3]],Tabla1561217[[#This Row],[Puntos clase5]])*2)</f>
        <v>#N/A</v>
      </c>
    </row>
    <row r="34" spans="1:24" x14ac:dyDescent="0.35">
      <c r="A34" s="176" t="s">
        <v>179</v>
      </c>
      <c r="B34" s="176">
        <v>27</v>
      </c>
      <c r="C34" s="179" t="s">
        <v>404</v>
      </c>
      <c r="D34" s="179" t="s">
        <v>410</v>
      </c>
      <c r="E34" s="179" t="s">
        <v>432</v>
      </c>
      <c r="F34" s="179" t="s">
        <v>428</v>
      </c>
      <c r="G34" s="179" t="s">
        <v>432</v>
      </c>
      <c r="H34" s="179" t="s">
        <v>420</v>
      </c>
      <c r="I34" s="180" t="s">
        <v>24</v>
      </c>
      <c r="J34" s="180">
        <v>3</v>
      </c>
      <c r="K34" s="181"/>
      <c r="L34" s="183" t="str">
        <f>IF(AND(E34="M",Tabla1561217[[#This Row],[POS]]&lt;&gt;"AB",Tabla1561217[[#This Row],[POS]]&lt;&gt;"DSQ"),COUNTIF($E$6:E34,"M"),"")</f>
        <v/>
      </c>
      <c r="M34" s="183" t="str">
        <f>IF(E34="M",IF(Tabla1561217[[#This Row],[Tiempo]]="AB","",LOOKUP(Tabla1561217[[#This Row],[CLAS SCRATCH]],'Datos puntos'!$A$2:$A$23,'Datos puntos'!$B$2:$B$23)),"")</f>
        <v/>
      </c>
      <c r="N34" s="183" t="str">
        <f>IF(AND(E34="M",Tabla1561217[[#This Row],[POS]]&lt;&gt;"AB",Tabla1561217[[#This Row],[POS]]&lt;&gt;"DSQ"),COUNTIFS($J$6:J34,Tabla1561217[[#This Row],[Clase]],$E$6:E34,"M"),"")</f>
        <v/>
      </c>
      <c r="O34" s="183" t="str">
        <f>IF(E34="M",IF(Tabla1561217[[#This Row],[Tiempo]]="AB","",LOOKUP(Tabla1561217[[#This Row],[CLAS CLASE]],'Datos puntos'!$A$25:$A$53,'Datos puntos'!$B$25:$B$53)),"")</f>
        <v/>
      </c>
      <c r="P34" s="183" t="str">
        <f>IF(Tabla1561217[[#This Row],[Puntos scratch]]="","NO PUNTÚA",SUM(Tabla1561217[[#This Row],[Puntos scratch]],Tabla1561217[[#This Row],[Puntos clase]])*2)</f>
        <v>NO PUNTÚA</v>
      </c>
      <c r="Q34" s="183" t="str">
        <f>IF(AND(G34="M",Tabla1561217[[#This Row],[POS]]&lt;&gt;"AB",Tabla1561217[[#This Row],[POS]]&lt;&gt;"DSQ"),COUNTIF($G$6:G34,"M"),"")</f>
        <v/>
      </c>
      <c r="R34" s="183" t="str">
        <f>IF(G34="M",IF(Tabla1561217[[#This Row],[Tiempo]]="AB","",LOOKUP(Tabla1561217[[#This Row],[CLAS SCRATCH2]],'Datos puntos'!$A$2:$A$23,'Datos puntos'!$B$2:$B$23)),"")</f>
        <v/>
      </c>
      <c r="S34" s="183" t="str">
        <f>IF(AND(G34="M",Tabla1561217[[#This Row],[POS]]&lt;&gt;"AB",Tabla1561217[[#This Row],[POS]]&lt;&gt;"DSQ"),COUNTIFS($J$6:J34,Tabla1561217[[#This Row],[Clase]],$G$6:G34,"M"),"")</f>
        <v/>
      </c>
      <c r="T34" s="183" t="str">
        <f>IF(G34="M",IF(Tabla1561217[[#This Row],[Tiempo]]="AB","",LOOKUP(Tabla1561217[[#This Row],[CLAS CLASE2]],'Datos puntos'!$A$25:$A$53,'Datos puntos'!$B$25:$B$53)),"")</f>
        <v/>
      </c>
      <c r="U34" s="183" t="str">
        <f>IF(Tabla1561217[[#This Row],[Puntos scratch3]]="","NO PUNTÚA",SUM(Tabla1561217[[#This Row],[Puntos scratch3]],Tabla1561217[[#This Row],[Puntos clase5]])*2)</f>
        <v>NO PUNTÚA</v>
      </c>
    </row>
    <row r="35" spans="1:24" x14ac:dyDescent="0.35">
      <c r="A35" s="176" t="s">
        <v>179</v>
      </c>
      <c r="B35" s="176">
        <v>32</v>
      </c>
      <c r="C35" s="179" t="s">
        <v>171</v>
      </c>
      <c r="D35" s="179" t="s">
        <v>411</v>
      </c>
      <c r="E35" s="179" t="s">
        <v>432</v>
      </c>
      <c r="F35" s="179" t="s">
        <v>360</v>
      </c>
      <c r="G35" s="179" t="s">
        <v>168</v>
      </c>
      <c r="H35" s="179" t="s">
        <v>421</v>
      </c>
      <c r="I35" s="180" t="s">
        <v>200</v>
      </c>
      <c r="J35" s="180">
        <v>1</v>
      </c>
      <c r="K35" s="181"/>
      <c r="L35" s="183" t="str">
        <f>IF(AND(E35="M",Tabla1561217[[#This Row],[POS]]&lt;&gt;"AB",Tabla1561217[[#This Row],[POS]]&lt;&gt;"DSQ"),COUNTIF($E$6:E35,"M"),"")</f>
        <v/>
      </c>
      <c r="M35" s="183" t="str">
        <f>IF(E35="M",IF(Tabla1561217[[#This Row],[Tiempo]]="AB","",LOOKUP(Tabla1561217[[#This Row],[CLAS SCRATCH]],'Datos puntos'!$A$2:$A$23,'Datos puntos'!$B$2:$B$23)),"")</f>
        <v/>
      </c>
      <c r="N35" s="183" t="str">
        <f>IF(AND(E35="M",Tabla1561217[[#This Row],[POS]]&lt;&gt;"AB",Tabla1561217[[#This Row],[POS]]&lt;&gt;"DSQ"),COUNTIFS($J$6:J35,Tabla1561217[[#This Row],[Clase]],$E$6:E35,"M"),"")</f>
        <v/>
      </c>
      <c r="O35" s="183" t="str">
        <f>IF(E35="M",IF(Tabla1561217[[#This Row],[Tiempo]]="AB","",LOOKUP(Tabla1561217[[#This Row],[CLAS CLASE]],'Datos puntos'!$A$25:$A$53,'Datos puntos'!$B$25:$B$53)),"")</f>
        <v/>
      </c>
      <c r="P35" s="183" t="str">
        <f>IF(Tabla1561217[[#This Row],[Puntos scratch]]="","NO PUNTÚA",SUM(Tabla1561217[[#This Row],[Puntos scratch]],Tabla1561217[[#This Row],[Puntos clase]])*2)</f>
        <v>NO PUNTÚA</v>
      </c>
      <c r="Q35" s="183" t="str">
        <f>IF(AND(G35="M",Tabla1561217[[#This Row],[POS]]&lt;&gt;"AB",Tabla1561217[[#This Row],[POS]]&lt;&gt;"DSQ"),COUNTIF($G$6:G35,"M"),"")</f>
        <v/>
      </c>
      <c r="R35" s="183" t="e">
        <f>IF(G35="M",IF(Tabla1561217[[#This Row],[Tiempo]]="AB","",LOOKUP(Tabla1561217[[#This Row],[CLAS SCRATCH2]],'Datos puntos'!$A$2:$A$23,'Datos puntos'!$B$2:$B$23)),"")</f>
        <v>#N/A</v>
      </c>
      <c r="S35" s="183" t="str">
        <f>IF(AND(G35="M",Tabla1561217[[#This Row],[POS]]&lt;&gt;"AB",Tabla1561217[[#This Row],[POS]]&lt;&gt;"DSQ"),COUNTIFS($J$6:J35,Tabla1561217[[#This Row],[Clase]],$G$6:G35,"M"),"")</f>
        <v/>
      </c>
      <c r="T35" s="183" t="e">
        <f>IF(G35="M",IF(Tabla1561217[[#This Row],[Tiempo]]="AB","",LOOKUP(Tabla1561217[[#This Row],[CLAS CLASE2]],'Datos puntos'!$A$25:$A$53,'Datos puntos'!$B$25:$B$53)),"")</f>
        <v>#N/A</v>
      </c>
      <c r="U35" s="183" t="e">
        <f>IF(Tabla1561217[[#This Row],[Puntos scratch3]]="","NO PUNTÚA",SUM(Tabla1561217[[#This Row],[Puntos scratch3]],Tabla1561217[[#This Row],[Puntos clase5]])*2)</f>
        <v>#N/A</v>
      </c>
      <c r="V35" s="183"/>
      <c r="W35" s="183"/>
    </row>
    <row r="36" spans="1:24" x14ac:dyDescent="0.35">
      <c r="A36" s="176" t="s">
        <v>179</v>
      </c>
      <c r="B36" s="176">
        <v>33</v>
      </c>
      <c r="C36" s="179" t="s">
        <v>232</v>
      </c>
      <c r="D36" s="179" t="s">
        <v>369</v>
      </c>
      <c r="E36" s="179" t="s">
        <v>168</v>
      </c>
      <c r="F36" s="179" t="s">
        <v>376</v>
      </c>
      <c r="G36" s="179" t="s">
        <v>168</v>
      </c>
      <c r="H36" s="179" t="s">
        <v>383</v>
      </c>
      <c r="I36" s="180" t="s">
        <v>200</v>
      </c>
      <c r="J36" s="180">
        <v>1</v>
      </c>
      <c r="K36" s="181"/>
      <c r="L36" s="183" t="str">
        <f>IF(AND(E36="M",Tabla1561217[[#This Row],[POS]]&lt;&gt;"AB",Tabla1561217[[#This Row],[POS]]&lt;&gt;"DSQ"),COUNTIF($E$6:E36,"M"),"")</f>
        <v/>
      </c>
      <c r="M36" s="183" t="e">
        <f>IF(E36="M",IF(Tabla1561217[[#This Row],[Tiempo]]="AB","",LOOKUP(Tabla1561217[[#This Row],[CLAS SCRATCH]],'Datos puntos'!$A$2:$A$23,'Datos puntos'!$B$2:$B$23)),"")</f>
        <v>#N/A</v>
      </c>
      <c r="N36" s="183" t="str">
        <f>IF(AND(E36="M",Tabla1561217[[#This Row],[POS]]&lt;&gt;"AB",Tabla1561217[[#This Row],[POS]]&lt;&gt;"DSQ"),COUNTIFS($J$6:J36,Tabla1561217[[#This Row],[Clase]],$E$6:E36,"M"),"")</f>
        <v/>
      </c>
      <c r="O36" s="183" t="e">
        <f>IF(E36="M",IF(Tabla1561217[[#This Row],[Tiempo]]="AB","",LOOKUP(Tabla1561217[[#This Row],[CLAS CLASE]],'Datos puntos'!$A$25:$A$53,'Datos puntos'!$B$25:$B$53)),"")</f>
        <v>#N/A</v>
      </c>
      <c r="P36" s="183" t="e">
        <f>IF(Tabla1561217[[#This Row],[Puntos scratch]]="","NO PUNTÚA",SUM(Tabla1561217[[#This Row],[Puntos scratch]],Tabla1561217[[#This Row],[Puntos clase]])*2)</f>
        <v>#N/A</v>
      </c>
      <c r="Q36" s="183" t="str">
        <f>IF(AND(G36="M",Tabla1561217[[#This Row],[POS]]&lt;&gt;"AB",Tabla1561217[[#This Row],[POS]]&lt;&gt;"DSQ"),COUNTIF($G$6:G36,"M"),"")</f>
        <v/>
      </c>
      <c r="R36" s="183" t="e">
        <f>IF(G36="M",IF(Tabla1561217[[#This Row],[Tiempo]]="AB","",LOOKUP(Tabla1561217[[#This Row],[CLAS SCRATCH2]],'Datos puntos'!$A$2:$A$23,'Datos puntos'!$B$2:$B$23)),"")</f>
        <v>#N/A</v>
      </c>
      <c r="S36" s="183" t="str">
        <f>IF(AND(G36="M",Tabla1561217[[#This Row],[POS]]&lt;&gt;"AB",Tabla1561217[[#This Row],[POS]]&lt;&gt;"DSQ"),COUNTIFS($J$6:J36,Tabla1561217[[#This Row],[Clase]],$G$6:G36,"M"),"")</f>
        <v/>
      </c>
      <c r="T36" s="183" t="e">
        <f>IF(G36="M",IF(Tabla1561217[[#This Row],[Tiempo]]="AB","",LOOKUP(Tabla1561217[[#This Row],[CLAS CLASE2]],'Datos puntos'!$A$25:$A$53,'Datos puntos'!$B$25:$B$53)),"")</f>
        <v>#N/A</v>
      </c>
      <c r="U36" s="183" t="e">
        <f>IF(Tabla1561217[[#This Row],[Puntos scratch3]]="","NO PUNTÚA",SUM(Tabla1561217[[#This Row],[Puntos scratch3]],Tabla1561217[[#This Row],[Puntos clase5]])*2)</f>
        <v>#N/A</v>
      </c>
      <c r="V36" s="183"/>
      <c r="W36" s="183"/>
      <c r="X36" s="183"/>
    </row>
    <row r="37" spans="1:24" x14ac:dyDescent="0.35">
      <c r="A37" s="176"/>
      <c r="B37" s="176"/>
      <c r="C37" s="179"/>
      <c r="D37" s="179"/>
      <c r="E37" s="179"/>
      <c r="F37" s="179"/>
      <c r="G37" s="179"/>
      <c r="H37" s="179"/>
      <c r="I37" s="180"/>
      <c r="J37" s="180"/>
      <c r="K37" s="181"/>
      <c r="L37" s="182"/>
      <c r="M37" s="182"/>
      <c r="N37" s="182"/>
      <c r="O37" s="183"/>
      <c r="P37" s="183"/>
      <c r="Q37" s="183"/>
      <c r="R37" s="183"/>
      <c r="S37" s="183"/>
      <c r="T37" s="183"/>
      <c r="U37" s="183"/>
    </row>
    <row r="38" spans="1:24" x14ac:dyDescent="0.35">
      <c r="A38" s="176"/>
      <c r="B38" s="176"/>
      <c r="C38" s="179"/>
      <c r="D38" s="179"/>
      <c r="E38" s="179"/>
      <c r="F38" s="179"/>
      <c r="G38" s="179"/>
      <c r="H38" s="179"/>
      <c r="I38" s="180"/>
      <c r="J38" s="180"/>
      <c r="K38" s="181"/>
      <c r="L38" s="182"/>
      <c r="M38" s="182"/>
      <c r="N38" s="182"/>
      <c r="O38" s="183"/>
      <c r="P38" s="183"/>
      <c r="Q38" s="183"/>
      <c r="R38" s="183"/>
      <c r="S38" s="183"/>
      <c r="T38" s="183"/>
      <c r="U38" s="183"/>
    </row>
    <row r="39" spans="1:24" ht="15.5" x14ac:dyDescent="0.35">
      <c r="A39" s="174" t="s">
        <v>186</v>
      </c>
      <c r="B39" s="174"/>
      <c r="C39" s="174"/>
      <c r="D39" s="174"/>
      <c r="E39" s="174"/>
      <c r="F39" s="174"/>
      <c r="G39" s="174"/>
      <c r="H39" s="174"/>
      <c r="I39" s="174"/>
      <c r="J39" s="174"/>
      <c r="K39" s="174"/>
      <c r="L39" s="175"/>
      <c r="M39" s="175"/>
      <c r="N39" s="174" t="s">
        <v>1</v>
      </c>
      <c r="P39" s="199"/>
      <c r="Q39" s="199"/>
      <c r="R39" s="199"/>
      <c r="S39" s="202" t="s">
        <v>166</v>
      </c>
      <c r="U39" s="199"/>
    </row>
    <row r="40" spans="1:24" x14ac:dyDescent="0.35">
      <c r="A40" s="213" t="s">
        <v>190</v>
      </c>
      <c r="B40" s="186" t="s">
        <v>191</v>
      </c>
      <c r="C40" s="186" t="s">
        <v>192</v>
      </c>
      <c r="D40" s="186" t="s">
        <v>193</v>
      </c>
      <c r="E40" s="186" t="s">
        <v>194</v>
      </c>
      <c r="F40" s="186" t="s">
        <v>195</v>
      </c>
      <c r="G40" s="186" t="s">
        <v>196</v>
      </c>
      <c r="H40" s="186" t="s">
        <v>197</v>
      </c>
      <c r="I40" s="186" t="s">
        <v>198</v>
      </c>
      <c r="J40" s="186" t="s">
        <v>2</v>
      </c>
      <c r="K40" s="213" t="s">
        <v>199</v>
      </c>
      <c r="L40" s="207" t="s">
        <v>214</v>
      </c>
      <c r="M40" s="208" t="s">
        <v>217</v>
      </c>
      <c r="N40" s="208" t="s">
        <v>254</v>
      </c>
      <c r="O40" s="208" t="s">
        <v>218</v>
      </c>
      <c r="P40" s="208" t="s">
        <v>219</v>
      </c>
      <c r="Q40" s="209" t="s">
        <v>228</v>
      </c>
      <c r="R40" s="209" t="s">
        <v>229</v>
      </c>
      <c r="S40" s="209" t="s">
        <v>255</v>
      </c>
      <c r="T40" s="209" t="s">
        <v>230</v>
      </c>
      <c r="U40" s="209" t="s">
        <v>231</v>
      </c>
      <c r="V40" s="199"/>
      <c r="W40" s="199"/>
      <c r="X40" s="199"/>
    </row>
    <row r="41" spans="1:24" x14ac:dyDescent="0.35">
      <c r="A41" s="193">
        <v>1</v>
      </c>
      <c r="B41" s="193">
        <v>9</v>
      </c>
      <c r="C41" s="194" t="s">
        <v>232</v>
      </c>
      <c r="D41" s="194" t="s">
        <v>256</v>
      </c>
      <c r="E41" s="194" t="s">
        <v>168</v>
      </c>
      <c r="F41" s="194" t="s">
        <v>328</v>
      </c>
      <c r="G41" s="194" t="s">
        <v>168</v>
      </c>
      <c r="H41" s="194" t="s">
        <v>326</v>
      </c>
      <c r="I41" s="195" t="s">
        <v>186</v>
      </c>
      <c r="J41" s="195">
        <v>6</v>
      </c>
      <c r="K41" s="181"/>
      <c r="L41" s="183">
        <f>IF(AND(E41="M",Tabla3291419[[#This Row],[POS]]&lt;&gt;"AB",Tabla3291419[[#This Row],[POS]]&lt;&gt;"DSQ"),COUNTIF($E$41:E41,"M"),"")</f>
        <v>1</v>
      </c>
      <c r="M41" s="183">
        <f>IF(E41="M",IF(Tabla3291419[[#This Row],[Tiempo]]="AB","",LOOKUP(Tabla3291419[[#This Row],[CLAS SCRATCH]],'Datos puntos'!$A$2:$A$23,'Datos puntos'!$B$2:$B$23)),"")</f>
        <v>25</v>
      </c>
      <c r="N41" s="183">
        <f>Tabla3291419[[#This Row],[CLAS SCRATCH]]</f>
        <v>1</v>
      </c>
      <c r="O41" s="183">
        <f>IF(E41="M",IF(Tabla3291419[[#This Row],[Tiempo]]="AB","",LOOKUP(Tabla3291419[[#This Row],[CLAS CLASE]],'Datos puntos'!$A$25:$A$53,'Datos puntos'!$B$25:$B$53)),"")</f>
        <v>10</v>
      </c>
      <c r="P41" s="183">
        <f>IF(Tabla3291419[[#This Row],[Puntos scratch]]="","NO PUNTÚA",SUM(Tabla3291419[[#This Row],[Puntos scratch]],Tabla3291419[[#This Row],[Puntos clase]])*2)</f>
        <v>70</v>
      </c>
      <c r="Q41" s="183">
        <f>IF(AND(G41="M",Tabla3291419[[#This Row],[POS]]&lt;&gt;"AB",Tabla3291419[[#This Row],[POS]]&lt;&gt;"DSQ"),COUNTIF($G$41:G41,"M"),"")</f>
        <v>1</v>
      </c>
      <c r="R41" s="183">
        <f>IF(G41="M",IF(Tabla3291419[[#This Row],[Tiempo]]="AB","",LOOKUP(Tabla3291419[[#This Row],[CLAS SCRATCH2]],'Datos puntos'!$A$2:$A$23,'Datos puntos'!$B$2:$B$23)),"")</f>
        <v>25</v>
      </c>
      <c r="S41" s="183">
        <f>Tabla3291419[[#This Row],[CLAS SCRATCH2]]</f>
        <v>1</v>
      </c>
      <c r="T41" s="183">
        <f>IF(G41="M",IF(Tabla3291419[[#This Row],[Tiempo]]="AB","",LOOKUP(Tabla3291419[[#This Row],[CLAS CLASE2]],'Datos puntos'!$A$25:$A$53,'Datos puntos'!$B$25:$B$53)),"")</f>
        <v>10</v>
      </c>
      <c r="U41" s="183">
        <f>IF(Tabla3291419[[#This Row],[Puntos scratch3]]="","NO PUNTÚA",SUM(Tabla3291419[[#This Row],[Puntos scratch3]],Tabla3291419[[#This Row],[Puntos clase5]])*2)</f>
        <v>70</v>
      </c>
    </row>
    <row r="42" spans="1:24" x14ac:dyDescent="0.35">
      <c r="A42" s="193">
        <v>2</v>
      </c>
      <c r="B42" s="193">
        <v>28</v>
      </c>
      <c r="C42" s="194" t="s">
        <v>232</v>
      </c>
      <c r="D42" s="194" t="s">
        <v>257</v>
      </c>
      <c r="E42" s="194" t="s">
        <v>168</v>
      </c>
      <c r="F42" s="194" t="s">
        <v>436</v>
      </c>
      <c r="G42" s="194" t="s">
        <v>432</v>
      </c>
      <c r="H42" s="194" t="s">
        <v>326</v>
      </c>
      <c r="I42" s="195" t="s">
        <v>186</v>
      </c>
      <c r="J42" s="195">
        <v>6</v>
      </c>
      <c r="K42" s="187"/>
      <c r="L42" s="183">
        <f>IF(AND(E42="M",Tabla3291419[[#This Row],[POS]]&lt;&gt;"AB",Tabla3291419[[#This Row],[POS]]&lt;&gt;"DSQ"),COUNTIF($E$41:E42,"M"),"")</f>
        <v>2</v>
      </c>
      <c r="M42" s="183">
        <f>IF(E42="M",IF(Tabla3291419[[#This Row],[Tiempo]]="AB","",LOOKUP(Tabla3291419[[#This Row],[CLAS SCRATCH]],'Datos puntos'!$A$2:$A$23,'Datos puntos'!$B$2:$B$23)),"")</f>
        <v>20</v>
      </c>
      <c r="N42" s="183">
        <f>Tabla3291419[[#This Row],[CLAS SCRATCH]]</f>
        <v>2</v>
      </c>
      <c r="O42" s="183">
        <f>IF(E42="M",IF(Tabla3291419[[#This Row],[Tiempo]]="AB","",LOOKUP(Tabla3291419[[#This Row],[CLAS CLASE]],'Datos puntos'!$A$25:$A$53,'Datos puntos'!$B$25:$B$53)),"")</f>
        <v>8</v>
      </c>
      <c r="P42" s="183">
        <f>IF(Tabla3291419[[#This Row],[Puntos scratch]]="","NO PUNTÚA",SUM(Tabla3291419[[#This Row],[Puntos scratch]],Tabla3291419[[#This Row],[Puntos clase]])*2)</f>
        <v>56</v>
      </c>
      <c r="Q42" s="183" t="str">
        <f>IF(AND(G42="M",Tabla3291419[[#This Row],[POS]]&lt;&gt;"AB",Tabla3291419[[#This Row],[POS]]&lt;&gt;"DSQ"),COUNTIF($G$41:G42,"M"),"")</f>
        <v/>
      </c>
      <c r="R42" s="183" t="str">
        <f>IF(G42="M",IF(Tabla3291419[[#This Row],[Tiempo]]="AB","",LOOKUP(Tabla3291419[[#This Row],[CLAS SCRATCH2]],'Datos puntos'!$A$2:$A$23,'Datos puntos'!$B$2:$B$23)),"")</f>
        <v/>
      </c>
      <c r="S42" s="183" t="str">
        <f>Tabla3291419[[#This Row],[CLAS SCRATCH2]]</f>
        <v/>
      </c>
      <c r="T42" s="183" t="str">
        <f>IF(G42="M",IF(Tabla3291419[[#This Row],[Tiempo]]="AB","",LOOKUP(Tabla3291419[[#This Row],[CLAS CLASE2]],'Datos puntos'!$A$25:$A$53,'Datos puntos'!$B$25:$B$53)),"")</f>
        <v/>
      </c>
      <c r="U42" s="183" t="str">
        <f>IF(Tabla3291419[[#This Row],[Puntos scratch3]]="","NO PUNTÚA",SUM(Tabla3291419[[#This Row],[Puntos scratch3]],Tabla3291419[[#This Row],[Puntos clase5]])*2)</f>
        <v>NO PUNTÚA</v>
      </c>
    </row>
    <row r="43" spans="1:24" x14ac:dyDescent="0.35">
      <c r="A43" s="193">
        <v>3</v>
      </c>
      <c r="B43" s="193">
        <v>29</v>
      </c>
      <c r="C43" s="194" t="s">
        <v>232</v>
      </c>
      <c r="D43" s="194" t="s">
        <v>325</v>
      </c>
      <c r="E43" s="194" t="s">
        <v>168</v>
      </c>
      <c r="F43" s="194" t="s">
        <v>274</v>
      </c>
      <c r="G43" s="194" t="s">
        <v>168</v>
      </c>
      <c r="H43" s="194" t="s">
        <v>326</v>
      </c>
      <c r="I43" s="195" t="s">
        <v>186</v>
      </c>
      <c r="J43" s="195">
        <v>6</v>
      </c>
      <c r="K43" s="187"/>
      <c r="L43" s="183">
        <f>IF(AND(E43="M",Tabla3291419[[#This Row],[POS]]&lt;&gt;"AB",Tabla3291419[[#This Row],[POS]]&lt;&gt;"DSQ"),COUNTIF($E$41:E43,"M"),"")</f>
        <v>3</v>
      </c>
      <c r="M43" s="183">
        <f>IF(E43="M",IF(Tabla3291419[[#This Row],[Tiempo]]="AB","",LOOKUP(Tabla3291419[[#This Row],[CLAS SCRATCH]],'Datos puntos'!$A$2:$A$23,'Datos puntos'!$B$2:$B$23)),"")</f>
        <v>17</v>
      </c>
      <c r="N43" s="183">
        <f>Tabla3291419[[#This Row],[CLAS SCRATCH]]</f>
        <v>3</v>
      </c>
      <c r="O43" s="183">
        <f>IF(E43="M",IF(Tabla3291419[[#This Row],[Tiempo]]="AB","",LOOKUP(Tabla3291419[[#This Row],[CLAS CLASE]],'Datos puntos'!$A$25:$A$53,'Datos puntos'!$B$25:$B$53)),"")</f>
        <v>6</v>
      </c>
      <c r="P43" s="183">
        <f>IF(Tabla3291419[[#This Row],[Puntos scratch]]="","NO PUNTÚA",SUM(Tabla3291419[[#This Row],[Puntos scratch]],Tabla3291419[[#This Row],[Puntos clase]])*2)</f>
        <v>46</v>
      </c>
      <c r="Q43" s="183">
        <f>IF(AND(G43="M",Tabla3291419[[#This Row],[POS]]&lt;&gt;"AB",Tabla3291419[[#This Row],[POS]]&lt;&gt;"DSQ"),COUNTIF($G$41:G43,"M"),"")</f>
        <v>2</v>
      </c>
      <c r="R43" s="183">
        <f>IF(G43="M",IF(Tabla3291419[[#This Row],[Tiempo]]="AB","",LOOKUP(Tabla3291419[[#This Row],[CLAS SCRATCH2]],'Datos puntos'!$A$2:$A$23,'Datos puntos'!$B$2:$B$23)),"")</f>
        <v>20</v>
      </c>
      <c r="S43" s="183">
        <f>Tabla3291419[[#This Row],[CLAS SCRATCH2]]</f>
        <v>2</v>
      </c>
      <c r="T43" s="183">
        <f>IF(G43="M",IF(Tabla3291419[[#This Row],[Tiempo]]="AB","",LOOKUP(Tabla3291419[[#This Row],[CLAS CLASE2]],'Datos puntos'!$A$25:$A$53,'Datos puntos'!$B$25:$B$53)),"")</f>
        <v>8</v>
      </c>
      <c r="U43" s="183">
        <f>IF(Tabla3291419[[#This Row],[Puntos scratch3]]="","NO PUNTÚA",SUM(Tabla3291419[[#This Row],[Puntos scratch3]],Tabla3291419[[#This Row],[Puntos clase5]])*2)</f>
        <v>56</v>
      </c>
    </row>
    <row r="44" spans="1:24" x14ac:dyDescent="0.35">
      <c r="A44" s="193" t="s">
        <v>179</v>
      </c>
      <c r="B44" s="193">
        <v>31</v>
      </c>
      <c r="C44" s="194" t="s">
        <v>444</v>
      </c>
      <c r="D44" s="194" t="s">
        <v>442</v>
      </c>
      <c r="E44" s="194" t="s">
        <v>446</v>
      </c>
      <c r="F44" s="194" t="s">
        <v>443</v>
      </c>
      <c r="G44" s="194" t="s">
        <v>445</v>
      </c>
      <c r="H44" s="194" t="s">
        <v>389</v>
      </c>
      <c r="I44" s="195" t="s">
        <v>186</v>
      </c>
      <c r="J44" s="195">
        <v>6</v>
      </c>
      <c r="K44" s="187"/>
      <c r="L44" s="183" t="str">
        <f>IF(AND(E44="M",Tabla3291419[[#This Row],[POS]]&lt;&gt;"AB",Tabla3291419[[#This Row],[POS]]&lt;&gt;"DSQ"),COUNTIF($E$41:E44,"M"),"")</f>
        <v/>
      </c>
      <c r="M44" s="183" t="str">
        <f>IF(E44="M",IF(Tabla3291419[[#This Row],[Tiempo]]="AB","",LOOKUP(Tabla3291419[[#This Row],[CLAS SCRATCH]],'Datos puntos'!$A$2:$A$23,'Datos puntos'!$B$2:$B$23)),"")</f>
        <v/>
      </c>
      <c r="N44" s="183" t="str">
        <f>Tabla3291419[[#This Row],[CLAS SCRATCH]]</f>
        <v/>
      </c>
      <c r="O44" s="183" t="str">
        <f>IF(E44="M",IF(Tabla3291419[[#This Row],[Tiempo]]="AB","",LOOKUP(Tabla3291419[[#This Row],[CLAS CLASE]],'Datos puntos'!$A$25:$A$53,'Datos puntos'!$B$25:$B$53)),"")</f>
        <v/>
      </c>
      <c r="P44" s="183" t="str">
        <f>IF(Tabla3291419[[#This Row],[Puntos scratch]]="","NO PUNTÚA",SUM(Tabla3291419[[#This Row],[Puntos scratch]],Tabla3291419[[#This Row],[Puntos clase]])*2)</f>
        <v>NO PUNTÚA</v>
      </c>
      <c r="Q44" s="183" t="str">
        <f>IF(AND(G44="M",Tabla3291419[[#This Row],[POS]]&lt;&gt;"AB",Tabla3291419[[#This Row],[POS]]&lt;&gt;"DSQ"),COUNTIF($G$41:G44,"M"),"")</f>
        <v/>
      </c>
      <c r="R44" s="183" t="str">
        <f>IF(G44="M",IF(Tabla3291419[[#This Row],[Tiempo]]="AB","",LOOKUP(Tabla3291419[[#This Row],[CLAS SCRATCH2]],'Datos puntos'!$A$2:$A$23,'Datos puntos'!$B$2:$B$23)),"")</f>
        <v/>
      </c>
      <c r="S44" s="183" t="str">
        <f>Tabla3291419[[#This Row],[CLAS SCRATCH2]]</f>
        <v/>
      </c>
      <c r="T44" s="183" t="str">
        <f>IF(G44="M",IF(Tabla3291419[[#This Row],[Tiempo]]="AB","",LOOKUP(Tabla3291419[[#This Row],[CLAS CLASE2]],'Datos puntos'!$A$25:$A$53,'Datos puntos'!$B$25:$B$53)),"")</f>
        <v/>
      </c>
      <c r="U44" s="183" t="str">
        <f>IF(Tabla3291419[[#This Row],[Puntos scratch3]]="","NO PUNTÚA",SUM(Tabla3291419[[#This Row],[Puntos scratch3]],Tabla3291419[[#This Row],[Puntos clase5]])*2)</f>
        <v>NO PUNTÚA</v>
      </c>
    </row>
    <row r="45" spans="1:24" x14ac:dyDescent="0.35">
      <c r="A45" s="193"/>
      <c r="B45" s="193"/>
      <c r="C45" s="194"/>
      <c r="D45" s="194"/>
      <c r="E45" s="194"/>
      <c r="F45" s="194"/>
      <c r="G45" s="194"/>
      <c r="H45" s="194"/>
      <c r="I45" s="195"/>
      <c r="J45" s="195"/>
      <c r="K45" s="187"/>
      <c r="L45" s="183" t="str">
        <f>IF(AND(E45="M",Tabla3291419[[#This Row],[POS]]&lt;&gt;"AB",Tabla3291419[[#This Row],[POS]]&lt;&gt;"DSQ"),COUNTIF($E$41:E45,"M"),"")</f>
        <v/>
      </c>
      <c r="M45" s="183" t="str">
        <f>IF(E45="M",IF(Tabla3291419[[#This Row],[Tiempo]]="AB","",LOOKUP(Tabla3291419[[#This Row],[CLAS SCRATCH]],'Datos puntos'!$A$2:$A$23,'Datos puntos'!$B$2:$B$23)),"")</f>
        <v/>
      </c>
      <c r="N45" s="183" t="str">
        <f>Tabla3291419[[#This Row],[CLAS SCRATCH]]</f>
        <v/>
      </c>
      <c r="O45" s="183" t="str">
        <f>IF(E45="M",IF(Tabla3291419[[#This Row],[Tiempo]]="AB","",LOOKUP(Tabla3291419[[#This Row],[CLAS CLASE]],'Datos puntos'!$A$25:$A$53,'Datos puntos'!$B$25:$B$53)),"")</f>
        <v/>
      </c>
      <c r="P45" s="183" t="str">
        <f>IF(Tabla3291419[[#This Row],[Puntos scratch]]="","NO PUNTÚA",SUM(Tabla3291419[[#This Row],[Puntos scratch]],Tabla3291419[[#This Row],[Puntos clase]])*2)</f>
        <v>NO PUNTÚA</v>
      </c>
      <c r="Q45" s="183" t="str">
        <f>IF(AND(G45="M",Tabla3291419[[#This Row],[POS]]&lt;&gt;"AB",Tabla3291419[[#This Row],[POS]]&lt;&gt;"DSQ"),COUNTIF($G$41:G45,"M"),"")</f>
        <v/>
      </c>
      <c r="R45" s="183" t="str">
        <f>IF(G45="M",IF(Tabla3291419[[#This Row],[Tiempo]]="AB","",LOOKUP(Tabla3291419[[#This Row],[CLAS SCRATCH2]],'Datos puntos'!$A$2:$A$23,'Datos puntos'!$B$2:$B$23)),"")</f>
        <v/>
      </c>
      <c r="S45" s="183" t="str">
        <f>Tabla3291419[[#This Row],[CLAS SCRATCH2]]</f>
        <v/>
      </c>
      <c r="T45" s="183" t="str">
        <f>IF(G45="M",IF(Tabla3291419[[#This Row],[Tiempo]]="AB","",LOOKUP(Tabla3291419[[#This Row],[CLAS CLASE2]],'Datos puntos'!$A$25:$A$53,'Datos puntos'!$B$25:$B$53)),"")</f>
        <v/>
      </c>
      <c r="U45" s="183" t="str">
        <f>IF(Tabla3291419[[#This Row],[Puntos scratch3]]="","NO PUNTÚA",SUM(Tabla3291419[[#This Row],[Puntos scratch3]],Tabla3291419[[#This Row],[Puntos clase5]])*2)</f>
        <v>NO PUNTÚA</v>
      </c>
    </row>
    <row r="46" spans="1:24" x14ac:dyDescent="0.35">
      <c r="A46" s="193"/>
      <c r="B46" s="193"/>
      <c r="C46" s="194"/>
      <c r="D46" s="194"/>
      <c r="E46" s="194"/>
      <c r="F46" s="194"/>
      <c r="G46" s="194"/>
      <c r="H46" s="194"/>
      <c r="I46" s="195"/>
      <c r="J46" s="195"/>
      <c r="K46" s="187"/>
      <c r="L46" s="183"/>
      <c r="M46" s="183"/>
      <c r="N46" s="183"/>
      <c r="O46" s="183"/>
      <c r="P46" s="183"/>
      <c r="Q46" s="183"/>
      <c r="R46" s="183"/>
      <c r="S46" s="183"/>
      <c r="T46" s="183"/>
      <c r="U46" s="183"/>
    </row>
    <row r="47" spans="1:24" x14ac:dyDescent="0.35">
      <c r="A47" s="193"/>
      <c r="B47" s="193"/>
      <c r="C47" s="194"/>
      <c r="D47" s="194"/>
      <c r="E47" s="194"/>
      <c r="F47" s="194"/>
      <c r="G47" s="194"/>
      <c r="H47" s="194"/>
      <c r="I47" s="195"/>
      <c r="J47" s="195"/>
      <c r="K47" s="187"/>
      <c r="L47" s="189"/>
      <c r="M47" s="189"/>
      <c r="N47" s="182"/>
      <c r="V47" s="182"/>
      <c r="W47" s="182"/>
      <c r="X47" s="182"/>
    </row>
    <row r="48" spans="1:24" ht="15.5" x14ac:dyDescent="0.35">
      <c r="A48" s="203" t="s">
        <v>261</v>
      </c>
      <c r="B48" s="203"/>
      <c r="C48" s="204"/>
      <c r="D48" s="204"/>
      <c r="E48" s="204"/>
      <c r="F48" s="204"/>
      <c r="G48" s="204"/>
      <c r="H48" s="204"/>
      <c r="I48" s="204"/>
      <c r="J48" s="204"/>
      <c r="K48" s="205"/>
      <c r="L48" s="189"/>
      <c r="M48" s="189"/>
      <c r="N48" s="174" t="s">
        <v>1</v>
      </c>
      <c r="O48" s="174"/>
      <c r="P48" s="199"/>
      <c r="Q48" s="199"/>
      <c r="R48" s="199"/>
      <c r="S48" s="176" t="s">
        <v>166</v>
      </c>
      <c r="T48" s="202"/>
      <c r="U48" s="199"/>
    </row>
    <row r="49" spans="1:24" x14ac:dyDescent="0.35">
      <c r="A49" s="193" t="s">
        <v>190</v>
      </c>
      <c r="B49" s="193" t="s">
        <v>191</v>
      </c>
      <c r="C49" s="194" t="s">
        <v>192</v>
      </c>
      <c r="D49" s="194" t="s">
        <v>193</v>
      </c>
      <c r="E49" s="194" t="s">
        <v>262</v>
      </c>
      <c r="F49" s="194" t="s">
        <v>195</v>
      </c>
      <c r="G49" s="194" t="s">
        <v>263</v>
      </c>
      <c r="H49" s="194" t="s">
        <v>197</v>
      </c>
      <c r="I49" s="195" t="s">
        <v>198</v>
      </c>
      <c r="J49" s="195" t="s">
        <v>2</v>
      </c>
      <c r="K49" s="187" t="s">
        <v>199</v>
      </c>
      <c r="L49" s="210" t="s">
        <v>214</v>
      </c>
      <c r="M49" s="211" t="s">
        <v>217</v>
      </c>
      <c r="N49" s="211" t="s">
        <v>254</v>
      </c>
      <c r="O49" s="211" t="s">
        <v>218</v>
      </c>
      <c r="P49" s="211" t="s">
        <v>219</v>
      </c>
      <c r="Q49" s="212" t="s">
        <v>228</v>
      </c>
      <c r="R49" s="212" t="s">
        <v>229</v>
      </c>
      <c r="S49" s="212" t="s">
        <v>255</v>
      </c>
      <c r="T49" s="212" t="s">
        <v>230</v>
      </c>
      <c r="U49" s="212" t="s">
        <v>231</v>
      </c>
      <c r="V49" s="199"/>
      <c r="W49" s="199"/>
      <c r="X49" s="199"/>
    </row>
    <row r="50" spans="1:24" x14ac:dyDescent="0.35">
      <c r="A50" s="193">
        <v>1</v>
      </c>
      <c r="B50" s="193">
        <v>43</v>
      </c>
      <c r="C50" s="194" t="s">
        <v>437</v>
      </c>
      <c r="D50" s="194" t="s">
        <v>342</v>
      </c>
      <c r="E50" s="234" t="s">
        <v>168</v>
      </c>
      <c r="F50" s="194" t="s">
        <v>438</v>
      </c>
      <c r="G50" s="194" t="s">
        <v>173</v>
      </c>
      <c r="H50" s="194" t="s">
        <v>266</v>
      </c>
      <c r="I50" s="195" t="s">
        <v>187</v>
      </c>
      <c r="J50" s="195">
        <v>7</v>
      </c>
      <c r="K50" s="187"/>
      <c r="L50" s="182">
        <f>IF(AND(E50="M",Tabla7101520[[#This Row],[POS]]&lt;&gt;"AB",Tabla7101520[[#This Row],[POS]]&lt;&gt;"DSQ"),COUNTIF($E$50:E50,"M"),"")</f>
        <v>1</v>
      </c>
      <c r="M50" s="182">
        <f>IF(E50="M",IF(Tabla7101520[[#This Row],[Tiempo]]="AB","",LOOKUP(Tabla7101520[[#This Row],[CLAS SCRATCH]],'Datos puntos'!$A$2:$A$23,'Datos puntos'!$B$2:$B$23)),"")</f>
        <v>25</v>
      </c>
      <c r="N50" s="182">
        <f>Tabla7101520[[#This Row],[CLAS SCRATCH]]</f>
        <v>1</v>
      </c>
      <c r="O50" s="182">
        <f>IF(E50="M",IF(Tabla7101520[[#This Row],[Tiempo]]="AB","",LOOKUP(Tabla7101520[[#This Row],[CLAS CLASE]],'Datos puntos'!$A$25:$A$53,'Datos puntos'!$B$25:$B$53)),"")</f>
        <v>10</v>
      </c>
      <c r="P50" s="182">
        <f>IF(Tabla7101520[[#This Row],[Puntos scratch]]="","NO PUNTÚA",SUM(Tabla7101520[[#This Row],[Puntos scratch]],Tabla7101520[[#This Row],[Puntos clase]])*2)</f>
        <v>70</v>
      </c>
      <c r="Q50" s="182" t="str">
        <f>IF(AND(G50="M",Tabla7101520[[#This Row],[POS]]&lt;&gt;"AB",Tabla7101520[[#This Row],[POS]]&lt;&gt;"DSQ"),COUNTIF($G$50:G50,"M"),"")</f>
        <v/>
      </c>
      <c r="R50" s="182" t="str">
        <f>IF(G50="M",IF(Tabla7101520[[#This Row],[Tiempo]]="AB","",LOOKUP(Tabla7101520[[#This Row],[CLAS SCRATCH2]],'Datos puntos'!$A$2:$A$23,'Datos puntos'!$B$2:$B$23)),"")</f>
        <v/>
      </c>
      <c r="S50" s="182" t="str">
        <f>Tabla7101520[[#This Row],[CLAS SCRATCH2]]</f>
        <v/>
      </c>
      <c r="T50" s="182" t="str">
        <f>IF(G50="M",IF(Tabla7101520[[#This Row],[Tiempo]]="AB","",LOOKUP(Tabla7101520[[#This Row],[CLAS CLASE2]],'Datos puntos'!$A$25:$A$53,'Datos puntos'!$B$25:$B$53)),"")</f>
        <v/>
      </c>
      <c r="U50" s="182" t="str">
        <f>IF(Tabla7101520[[#This Row],[Puntos scratch3]]="","NO PUNTÚA",SUM(Tabla7101520[[#This Row],[Puntos scratch3]],Tabla7101520[[#This Row],[Puntos clase5]])*2)</f>
        <v>NO PUNTÚA</v>
      </c>
    </row>
    <row r="51" spans="1:24" x14ac:dyDescent="0.35">
      <c r="A51" s="193">
        <v>2</v>
      </c>
      <c r="B51" s="193">
        <v>42</v>
      </c>
      <c r="C51" s="194" t="s">
        <v>330</v>
      </c>
      <c r="D51" s="206" t="s">
        <v>331</v>
      </c>
      <c r="E51" s="267" t="s">
        <v>168</v>
      </c>
      <c r="F51" s="194" t="s">
        <v>358</v>
      </c>
      <c r="G51" s="194" t="s">
        <v>168</v>
      </c>
      <c r="H51" s="194" t="s">
        <v>329</v>
      </c>
      <c r="I51" s="195" t="s">
        <v>187</v>
      </c>
      <c r="J51" s="195">
        <v>7</v>
      </c>
      <c r="K51" s="187"/>
      <c r="L51" s="182">
        <f>IF(AND(E51="M",Tabla7101520[[#This Row],[POS]]&lt;&gt;"AB",Tabla7101520[[#This Row],[POS]]&lt;&gt;"DSQ"),COUNTIF($E$50:E51,"M"),"")</f>
        <v>2</v>
      </c>
      <c r="M51" s="182">
        <f>IF(E51="M",IF(Tabla7101520[[#This Row],[Tiempo]]="AB","",LOOKUP(Tabla7101520[[#This Row],[CLAS SCRATCH]],'Datos puntos'!$A$2:$A$23,'Datos puntos'!$B$2:$B$23)),"")</f>
        <v>20</v>
      </c>
      <c r="N51" s="182">
        <f>Tabla7101520[[#This Row],[CLAS SCRATCH]]</f>
        <v>2</v>
      </c>
      <c r="O51" s="182">
        <f>IF(E51="M",IF(Tabla7101520[[#This Row],[Tiempo]]="AB","",LOOKUP(Tabla7101520[[#This Row],[CLAS CLASE]],'Datos puntos'!$A$25:$A$53,'Datos puntos'!$B$25:$B$53)),"")</f>
        <v>8</v>
      </c>
      <c r="P51" s="182">
        <f>IF(Tabla7101520[[#This Row],[Puntos scratch]]="","NO PUNTÚA",SUM(Tabla7101520[[#This Row],[Puntos scratch]],Tabla7101520[[#This Row],[Puntos clase]])*2)</f>
        <v>56</v>
      </c>
      <c r="Q51" s="182">
        <f>IF(AND(G51="M",Tabla7101520[[#This Row],[POS]]&lt;&gt;"AB",Tabla7101520[[#This Row],[POS]]&lt;&gt;"DSQ"),COUNTIF($G$50:G51,"M"),"")</f>
        <v>1</v>
      </c>
      <c r="R51" s="182">
        <f>IF(G51="M",IF(Tabla7101520[[#This Row],[Tiempo]]="AB","",LOOKUP(Tabla7101520[[#This Row],[CLAS SCRATCH2]],'Datos puntos'!$A$2:$A$23,'Datos puntos'!$B$2:$B$23)),"")</f>
        <v>25</v>
      </c>
      <c r="S51" s="182">
        <f>Tabla7101520[[#This Row],[CLAS SCRATCH2]]</f>
        <v>1</v>
      </c>
      <c r="T51" s="182">
        <f>IF(G51="M",IF(Tabla7101520[[#This Row],[Tiempo]]="AB","",LOOKUP(Tabla7101520[[#This Row],[CLAS CLASE2]],'Datos puntos'!$A$25:$A$53,'Datos puntos'!$B$25:$B$53)),"")</f>
        <v>10</v>
      </c>
      <c r="U51" s="182">
        <f>IF(Tabla7101520[[#This Row],[Puntos scratch3]]="","NO PUNTÚA",SUM(Tabla7101520[[#This Row],[Puntos scratch3]],Tabla7101520[[#This Row],[Puntos clase5]])*2)</f>
        <v>70</v>
      </c>
    </row>
    <row r="52" spans="1:24" x14ac:dyDescent="0.35">
      <c r="A52" s="193">
        <v>3</v>
      </c>
      <c r="B52" s="193">
        <v>44</v>
      </c>
      <c r="C52" s="194" t="s">
        <v>362</v>
      </c>
      <c r="D52" s="206" t="s">
        <v>335</v>
      </c>
      <c r="E52" s="194" t="s">
        <v>168</v>
      </c>
      <c r="F52" s="194" t="s">
        <v>265</v>
      </c>
      <c r="G52" s="194" t="s">
        <v>168</v>
      </c>
      <c r="H52" s="194" t="s">
        <v>336</v>
      </c>
      <c r="I52" s="195" t="s">
        <v>187</v>
      </c>
      <c r="J52" s="195">
        <v>7</v>
      </c>
      <c r="K52" s="187"/>
      <c r="L52" s="182">
        <f>IF(AND(E52="M",Tabla7101520[[#This Row],[POS]]&lt;&gt;"AB",Tabla7101520[[#This Row],[POS]]&lt;&gt;"DSQ"),COUNTIF($E$50:E52,"M"),"")</f>
        <v>3</v>
      </c>
      <c r="M52" s="182">
        <f>IF(E52="M",IF(Tabla7101520[[#This Row],[Tiempo]]="AB","",LOOKUP(Tabla7101520[[#This Row],[CLAS SCRATCH]],'Datos puntos'!$A$2:$A$23,'Datos puntos'!$B$2:$B$23)),"")</f>
        <v>17</v>
      </c>
      <c r="N52" s="182">
        <f>Tabla7101520[[#This Row],[CLAS SCRATCH]]</f>
        <v>3</v>
      </c>
      <c r="O52" s="182">
        <f>IF(E52="M",IF(Tabla7101520[[#This Row],[Tiempo]]="AB","",LOOKUP(Tabla7101520[[#This Row],[CLAS CLASE]],'Datos puntos'!$A$25:$A$53,'Datos puntos'!$B$25:$B$53)),"")</f>
        <v>6</v>
      </c>
      <c r="P52" s="182">
        <f>IF(Tabla7101520[[#This Row],[Puntos scratch]]="","NO PUNTÚA",SUM(Tabla7101520[[#This Row],[Puntos scratch]],Tabla7101520[[#This Row],[Puntos clase]])*2)</f>
        <v>46</v>
      </c>
      <c r="Q52" s="182">
        <f>IF(AND(G52="M",Tabla7101520[[#This Row],[POS]]&lt;&gt;"AB",Tabla7101520[[#This Row],[POS]]&lt;&gt;"DSQ"),COUNTIF($G$50:G52,"M"),"")</f>
        <v>2</v>
      </c>
      <c r="R52" s="182">
        <f>IF(G52="M",IF(Tabla7101520[[#This Row],[Tiempo]]="AB","",LOOKUP(Tabla7101520[[#This Row],[CLAS SCRATCH2]],'Datos puntos'!$A$2:$A$23,'Datos puntos'!$B$2:$B$23)),"")</f>
        <v>20</v>
      </c>
      <c r="S52" s="182">
        <f>Tabla7101520[[#This Row],[CLAS SCRATCH2]]</f>
        <v>2</v>
      </c>
      <c r="T52" s="182">
        <f>IF(G52="M",IF(Tabla7101520[[#This Row],[Tiempo]]="AB","",LOOKUP(Tabla7101520[[#This Row],[CLAS CLASE2]],'Datos puntos'!$A$25:$A$53,'Datos puntos'!$B$25:$B$53)),"")</f>
        <v>8</v>
      </c>
      <c r="U52" s="182">
        <f>IF(Tabla7101520[[#This Row],[Puntos scratch3]]="","NO PUNTÚA",SUM(Tabla7101520[[#This Row],[Puntos scratch3]],Tabla7101520[[#This Row],[Puntos clase5]])*2)</f>
        <v>56</v>
      </c>
    </row>
    <row r="53" spans="1:24" x14ac:dyDescent="0.35">
      <c r="A53" s="193"/>
      <c r="B53" s="193"/>
      <c r="C53" s="194"/>
      <c r="D53" s="206"/>
      <c r="E53" s="194"/>
      <c r="F53" s="194"/>
      <c r="G53" s="194"/>
      <c r="H53" s="194"/>
      <c r="I53" s="195"/>
      <c r="J53" s="195"/>
      <c r="K53" s="187"/>
      <c r="L53" s="182" t="str">
        <f>IF(AND(E53="M",Tabla7101520[[#This Row],[POS]]&lt;&gt;"AB",Tabla7101520[[#This Row],[POS]]&lt;&gt;"DSQ"),COUNTIF($E$50:E53,"M"),"")</f>
        <v/>
      </c>
      <c r="M53" s="182" t="str">
        <f>IF(E53="M",IF(Tabla7101520[[#This Row],[Tiempo]]="AB","",LOOKUP(Tabla7101520[[#This Row],[CLAS SCRATCH]],'Datos puntos'!$A$2:$A$23,'Datos puntos'!$B$2:$B$23)),"")</f>
        <v/>
      </c>
      <c r="N53" s="182" t="str">
        <f>Tabla7101520[[#This Row],[CLAS SCRATCH]]</f>
        <v/>
      </c>
      <c r="O53" s="182" t="str">
        <f>IF(E53="M",IF(Tabla7101520[[#This Row],[Tiempo]]="AB","",LOOKUP(Tabla7101520[[#This Row],[CLAS CLASE]],'Datos puntos'!$A$25:$A$53,'Datos puntos'!$B$25:$B$53)),"")</f>
        <v/>
      </c>
      <c r="P53" s="182" t="str">
        <f>IF(Tabla7101520[[#This Row],[Puntos scratch]]="","NO PUNTÚA",SUM(Tabla7101520[[#This Row],[Puntos scratch]],Tabla7101520[[#This Row],[Puntos clase]])*2)</f>
        <v>NO PUNTÚA</v>
      </c>
      <c r="Q53" s="270" t="str">
        <f>IF(AND(G53="M",Tabla7101520[[#This Row],[POS]]&lt;&gt;"AB",Tabla7101520[[#This Row],[POS]]&lt;&gt;"DSQ"),COUNTIF($G$50:G54,"M"),"")</f>
        <v/>
      </c>
      <c r="R53" s="182" t="str">
        <f>IF(G53="M",IF(Tabla7101520[[#This Row],[Tiempo]]="AB","",LOOKUP(Tabla7101520[[#This Row],[CLAS SCRATCH2]],'Datos puntos'!$A$2:$A$23,'Datos puntos'!$B$2:$B$23)),"")</f>
        <v/>
      </c>
      <c r="S53" s="182" t="str">
        <f>Tabla7101520[[#This Row],[CLAS SCRATCH2]]</f>
        <v/>
      </c>
      <c r="T53" s="182" t="str">
        <f>IF(G53="M",IF(Tabla7101520[[#This Row],[Tiempo]]="AB","",LOOKUP(Tabla7101520[[#This Row],[CLAS CLASE2]],'Datos puntos'!$A$25:$A$53,'Datos puntos'!$B$25:$B$53)),"")</f>
        <v/>
      </c>
      <c r="U53" s="182" t="str">
        <f>IF(Tabla7101520[[#This Row],[Puntos scratch3]]="","NO PUNTÚA",SUM(Tabla7101520[[#This Row],[Puntos scratch3]],Tabla7101520[[#This Row],[Puntos clase5]])*2)</f>
        <v>NO PUNTÚA</v>
      </c>
    </row>
    <row r="54" spans="1:24" x14ac:dyDescent="0.35">
      <c r="A54" s="271"/>
      <c r="B54" s="271"/>
      <c r="C54" s="272"/>
      <c r="D54" s="272"/>
      <c r="E54" s="272"/>
      <c r="F54" s="272"/>
      <c r="G54" s="272"/>
      <c r="H54" s="272"/>
      <c r="I54" s="273"/>
      <c r="J54" s="273"/>
      <c r="K54" s="274"/>
      <c r="L54" s="182" t="str">
        <f>IF(AND(E54="M",Tabla7101520[[#This Row],[POS]]&lt;&gt;"AB",Tabla7101520[[#This Row],[POS]]&lt;&gt;"DSQ"),COUNTIF($E$50:E54,"M"),"")</f>
        <v/>
      </c>
      <c r="M54" s="275" t="str">
        <f>IF(E54="M",IF(Tabla7101520[[#This Row],[Tiempo]]="AB","",LOOKUP(Tabla7101520[[#This Row],[CLAS SCRATCH]],'Datos puntos'!$A$2:$A$23,'Datos puntos'!$B$2:$B$23)),"")</f>
        <v/>
      </c>
      <c r="N54" s="275" t="str">
        <f>Tabla7101520[[#This Row],[CLAS SCRATCH]]</f>
        <v/>
      </c>
      <c r="O54" s="275" t="str">
        <f>IF(E54="M",IF(Tabla7101520[[#This Row],[Tiempo]]="AB","",LOOKUP(Tabla7101520[[#This Row],[CLAS CLASE]],'Datos puntos'!$A$25:$A$53,'Datos puntos'!$B$25:$B$53)),"")</f>
        <v/>
      </c>
      <c r="P54" s="275" t="str">
        <f>IF(Tabla7101520[[#This Row],[Puntos scratch]]="","NO PUNTÚA",SUM(Tabla7101520[[#This Row],[Puntos scratch]],Tabla7101520[[#This Row],[Puntos clase]])*2)</f>
        <v>NO PUNTÚA</v>
      </c>
      <c r="Q54" s="275" t="str">
        <f>IF(AND(G54="M",Tabla7101520[[#This Row],[POS]]&lt;&gt;"AB",Tabla7101520[[#This Row],[POS]]&lt;&gt;"DSQ"),COUNTIF($G$50:G54,"M"),"")</f>
        <v/>
      </c>
      <c r="R54" s="275" t="str">
        <f>IF(G54="M",IF(Tabla7101520[[#This Row],[Tiempo]]="AB","",LOOKUP(Tabla7101520[[#This Row],[CLAS SCRATCH2]],'Datos puntos'!$A$2:$A$23,'Datos puntos'!$B$2:$B$23)),"")</f>
        <v/>
      </c>
      <c r="S54" s="275" t="str">
        <f>Tabla7101520[[#This Row],[CLAS SCRATCH2]]</f>
        <v/>
      </c>
      <c r="T54" s="275" t="str">
        <f>IF(G54="M",IF(Tabla7101520[[#This Row],[Tiempo]]="AB","",LOOKUP(Tabla7101520[[#This Row],[CLAS CLASE2]],'Datos puntos'!$A$25:$A$53,'Datos puntos'!$B$25:$B$53)),"")</f>
        <v/>
      </c>
      <c r="U54" s="275" t="str">
        <f>IF(Tabla7101520[[#This Row],[Puntos scratch3]]="","NO PUNTÚA",SUM(Tabla7101520[[#This Row],[Puntos scratch3]],Tabla7101520[[#This Row],[Puntos clase5]])*2)</f>
        <v>NO PUNTÚA</v>
      </c>
    </row>
    <row r="55" spans="1:24" x14ac:dyDescent="0.35">
      <c r="A55" s="193"/>
      <c r="B55" s="193"/>
      <c r="C55" s="194"/>
      <c r="D55" s="206"/>
      <c r="E55" s="234"/>
      <c r="F55" s="194"/>
      <c r="G55" s="194"/>
      <c r="H55" s="194"/>
      <c r="I55" s="195"/>
      <c r="J55" s="195"/>
      <c r="K55" s="187"/>
      <c r="L55" s="189"/>
      <c r="M55" s="189"/>
      <c r="N55" s="182"/>
      <c r="O55" s="182"/>
      <c r="P55" s="182"/>
      <c r="Q55" s="182"/>
      <c r="R55" s="182"/>
      <c r="S55" s="182"/>
      <c r="T55" s="182"/>
      <c r="U55" s="182"/>
      <c r="V55" s="183"/>
      <c r="W55" s="183"/>
      <c r="X55" s="183"/>
    </row>
    <row r="56" spans="1:24" x14ac:dyDescent="0.35">
      <c r="A56" s="193"/>
      <c r="B56" s="193"/>
      <c r="C56" s="194"/>
      <c r="D56" s="194"/>
      <c r="E56" s="194"/>
      <c r="F56" s="194"/>
      <c r="G56" s="194"/>
      <c r="H56" s="194"/>
      <c r="I56" s="195"/>
      <c r="J56" s="195"/>
      <c r="K56" s="187"/>
      <c r="L56" s="189"/>
      <c r="M56" s="189"/>
      <c r="N56" s="182"/>
    </row>
    <row r="57" spans="1:24" ht="15.5" x14ac:dyDescent="0.35">
      <c r="A57" s="174" t="s">
        <v>260</v>
      </c>
      <c r="B57" s="174"/>
      <c r="C57" s="174"/>
      <c r="D57" s="174"/>
      <c r="E57" s="174"/>
      <c r="F57" s="174"/>
      <c r="G57" s="174"/>
      <c r="H57" s="174"/>
      <c r="I57" s="174"/>
      <c r="J57" s="174"/>
      <c r="K57" s="174"/>
      <c r="L57" s="175"/>
      <c r="M57" s="175"/>
      <c r="N57" s="174" t="s">
        <v>1</v>
      </c>
      <c r="O57" s="174"/>
      <c r="P57" s="199"/>
      <c r="Q57" s="199"/>
      <c r="R57" s="199"/>
      <c r="S57" s="176" t="s">
        <v>166</v>
      </c>
      <c r="T57" s="202"/>
      <c r="U57" s="199"/>
    </row>
    <row r="58" spans="1:24" x14ac:dyDescent="0.35">
      <c r="A58" s="213" t="s">
        <v>190</v>
      </c>
      <c r="B58" s="186" t="s">
        <v>191</v>
      </c>
      <c r="C58" s="186" t="s">
        <v>192</v>
      </c>
      <c r="D58" s="186" t="s">
        <v>193</v>
      </c>
      <c r="E58" s="186" t="s">
        <v>194</v>
      </c>
      <c r="F58" s="186" t="s">
        <v>195</v>
      </c>
      <c r="G58" s="186" t="s">
        <v>196</v>
      </c>
      <c r="H58" s="186" t="s">
        <v>197</v>
      </c>
      <c r="I58" s="186" t="s">
        <v>198</v>
      </c>
      <c r="J58" s="186" t="s">
        <v>2</v>
      </c>
      <c r="K58" s="213" t="s">
        <v>199</v>
      </c>
      <c r="L58" s="214" t="s">
        <v>214</v>
      </c>
      <c r="M58" s="214" t="s">
        <v>217</v>
      </c>
      <c r="N58" s="214" t="s">
        <v>254</v>
      </c>
      <c r="O58" s="214" t="s">
        <v>218</v>
      </c>
      <c r="P58" s="214" t="s">
        <v>219</v>
      </c>
      <c r="Q58" s="215" t="s">
        <v>228</v>
      </c>
      <c r="R58" s="215" t="s">
        <v>229</v>
      </c>
      <c r="S58" s="215" t="s">
        <v>255</v>
      </c>
      <c r="T58" s="215" t="s">
        <v>230</v>
      </c>
      <c r="U58" s="215" t="s">
        <v>231</v>
      </c>
    </row>
    <row r="59" spans="1:24" x14ac:dyDescent="0.35">
      <c r="A59" s="188">
        <v>1</v>
      </c>
      <c r="B59" s="176">
        <v>47</v>
      </c>
      <c r="C59" s="179" t="s">
        <v>232</v>
      </c>
      <c r="D59" s="179" t="s">
        <v>270</v>
      </c>
      <c r="E59" s="179" t="s">
        <v>168</v>
      </c>
      <c r="F59" s="179" t="s">
        <v>396</v>
      </c>
      <c r="G59" s="179" t="s">
        <v>371</v>
      </c>
      <c r="H59" s="179" t="s">
        <v>397</v>
      </c>
      <c r="I59" s="180" t="s">
        <v>431</v>
      </c>
      <c r="J59" s="180">
        <v>8</v>
      </c>
      <c r="K59" s="187"/>
      <c r="L59" s="183">
        <f>IF(AND(E59="M",Tabla271318[[#This Row],[POS]]&lt;&gt;"AB",Tabla271318[[#This Row],[POS]]&lt;&gt;"DSQ"),COUNTIF($E$59:E59,"M"),"")</f>
        <v>1</v>
      </c>
      <c r="M59" s="183">
        <f>IF(E59="M",IF(Tabla271318[[#This Row],[Tiempo]]="AB","",LOOKUP(Tabla271318[[#This Row],[CLAS SCRATCH]],'Datos puntos'!$A$2:$A$23,'Datos puntos'!$B$2:$B$23)),"")</f>
        <v>25</v>
      </c>
      <c r="N59" s="183">
        <f>Tabla271318[[#This Row],[CLAS SCRATCH]]</f>
        <v>1</v>
      </c>
      <c r="O59" s="183">
        <f>IF(E59="M",IF(Tabla271318[[#This Row],[Tiempo]]="AB","",LOOKUP(Tabla271318[[#This Row],[CLAS CLASE]],'Datos puntos'!$A$25:$A$53,'Datos puntos'!$B$25:$B$53)),"")</f>
        <v>10</v>
      </c>
      <c r="P59" s="183">
        <f>IF(Tabla271318[[#This Row],[Puntos scratch]]="","NO PUNTÚA",SUM(Tabla271318[[#This Row],[Puntos scratch]],Tabla271318[[#This Row],[Puntos clase]])*2)</f>
        <v>70</v>
      </c>
      <c r="Q59" s="183" t="str">
        <f>IF(AND(G59="M",Tabla271318[[#This Row],[POS]]&lt;&gt;"AB",Tabla271318[[#This Row],[POS]]&lt;&gt;"DSQ"),COUNTIF($G$59:G59,"M"),"")</f>
        <v/>
      </c>
      <c r="R59" s="183" t="str">
        <f>IF(G59="M",IF(Tabla271318[[#This Row],[Tiempo]]="AB","",LOOKUP(Tabla271318[[#This Row],[CLAS SCRATCH2]],'Datos puntos'!$A$2:$A$23,'Datos puntos'!$B$2:$B$23)),"")</f>
        <v/>
      </c>
      <c r="S59" s="183" t="str">
        <f>Tabla271318[[#This Row],[CLAS SCRATCH2]]</f>
        <v/>
      </c>
      <c r="T59" s="183" t="str">
        <f>IF(G59="M",IF(Tabla271318[[#This Row],[Tiempo]]="AB","",LOOKUP(Tabla271318[[#This Row],[CLAS CLASE2]],'Datos puntos'!$A$25:$A$53,'Datos puntos'!$B$25:$B$53)),"")</f>
        <v/>
      </c>
      <c r="U59" s="183">
        <f>IF(Tabla271318[[#This Row],[Puntos scratch]]="","NO PUNTÚA",SUM(Tabla271318[[#This Row],[Puntos scratch]],Tabla271318[[#This Row],[Puntos clase]])*2)</f>
        <v>70</v>
      </c>
    </row>
    <row r="60" spans="1:24" x14ac:dyDescent="0.35">
      <c r="A60" s="193">
        <v>2</v>
      </c>
      <c r="B60" s="176">
        <v>46</v>
      </c>
      <c r="C60" s="179" t="s">
        <v>189</v>
      </c>
      <c r="D60" s="179" t="s">
        <v>267</v>
      </c>
      <c r="E60" s="179" t="s">
        <v>168</v>
      </c>
      <c r="F60" s="179" t="s">
        <v>268</v>
      </c>
      <c r="G60" s="179" t="s">
        <v>168</v>
      </c>
      <c r="H60" s="179" t="s">
        <v>440</v>
      </c>
      <c r="I60" s="180" t="s">
        <v>431</v>
      </c>
      <c r="J60" s="180">
        <v>8</v>
      </c>
      <c r="K60" s="187"/>
      <c r="L60" s="183">
        <f>IF(AND(E60="M",Tabla271318[[#This Row],[POS]]&lt;&gt;"AB",Tabla271318[[#This Row],[POS]]&lt;&gt;"DSQ"),COUNTIF($E$59:E60,"M"),"")</f>
        <v>2</v>
      </c>
      <c r="M60" s="183">
        <f>IF(E60="M",IF(Tabla271318[[#This Row],[Tiempo]]="AB","",LOOKUP(Tabla271318[[#This Row],[CLAS SCRATCH]],'Datos puntos'!$A$2:$A$23,'Datos puntos'!$B$2:$B$23)),"")</f>
        <v>20</v>
      </c>
      <c r="N60" s="183">
        <f>Tabla271318[[#This Row],[CLAS SCRATCH]]</f>
        <v>2</v>
      </c>
      <c r="O60" s="183">
        <f>IF(E60="M",IF(Tabla271318[[#This Row],[Tiempo]]="AB","",LOOKUP(Tabla271318[[#This Row],[CLAS CLASE]],'Datos puntos'!$A$25:$A$53,'Datos puntos'!$B$25:$B$53)),"")</f>
        <v>8</v>
      </c>
      <c r="P60" s="183">
        <f>IF(Tabla271318[[#This Row],[Puntos scratch]]="","NO PUNTÚA",SUM(Tabla271318[[#This Row],[Puntos scratch]],Tabla271318[[#This Row],[Puntos clase]])*2)</f>
        <v>56</v>
      </c>
      <c r="Q60" s="183">
        <f>IF(AND(G60="M",Tabla271318[[#This Row],[POS]]&lt;&gt;"AB",Tabla271318[[#This Row],[POS]]&lt;&gt;"DSQ"),COUNTIF($G$59:G60,"M"),"")</f>
        <v>1</v>
      </c>
      <c r="R60" s="183">
        <f>IF(G60="M",IF(Tabla271318[[#This Row],[Tiempo]]="AB","",LOOKUP(Tabla271318[[#This Row],[CLAS SCRATCH2]],'Datos puntos'!$A$2:$A$23,'Datos puntos'!$B$2:$B$23)),"")</f>
        <v>25</v>
      </c>
      <c r="S60" s="183">
        <f>Tabla271318[[#This Row],[CLAS SCRATCH2]]</f>
        <v>1</v>
      </c>
      <c r="T60" s="183">
        <f>IF(G60="M",IF(Tabla271318[[#This Row],[Tiempo]]="AB","",LOOKUP(Tabla271318[[#This Row],[CLAS CLASE2]],'Datos puntos'!$A$25:$A$53,'Datos puntos'!$B$25:$B$53)),"")</f>
        <v>10</v>
      </c>
      <c r="U60" s="183">
        <f>IF(Tabla271318[[#This Row],[Puntos scratch]]="","NO PUNTÚA",SUM(Tabla271318[[#This Row],[Puntos scratch]],Tabla271318[[#This Row],[Puntos clase]])*2)</f>
        <v>56</v>
      </c>
    </row>
    <row r="61" spans="1:24" x14ac:dyDescent="0.35">
      <c r="A61" s="188" t="s">
        <v>179</v>
      </c>
      <c r="B61" s="176">
        <v>48</v>
      </c>
      <c r="C61" s="179" t="s">
        <v>401</v>
      </c>
      <c r="D61" s="179" t="s">
        <v>394</v>
      </c>
      <c r="E61" s="179" t="s">
        <v>168</v>
      </c>
      <c r="F61" s="179" t="s">
        <v>439</v>
      </c>
      <c r="G61" s="179" t="s">
        <v>168</v>
      </c>
      <c r="H61" s="179" t="s">
        <v>441</v>
      </c>
      <c r="I61" s="180" t="s">
        <v>431</v>
      </c>
      <c r="J61" s="180">
        <v>8</v>
      </c>
      <c r="K61" s="187"/>
      <c r="L61" s="183" t="str">
        <f>IF(AND(E61="M",Tabla271318[[#This Row],[POS]]&lt;&gt;"AB",Tabla271318[[#This Row],[POS]]&lt;&gt;"DSQ"),COUNTIF($E$59:E61,"M"),"")</f>
        <v/>
      </c>
      <c r="M61" s="183" t="e">
        <f>IF(E61="M",IF(Tabla271318[[#This Row],[Tiempo]]="AB","",LOOKUP(Tabla271318[[#This Row],[CLAS SCRATCH]],'Datos puntos'!$A$2:$A$23,'Datos puntos'!$B$2:$B$23)),"")</f>
        <v>#N/A</v>
      </c>
      <c r="N61" s="183" t="str">
        <f>Tabla271318[[#This Row],[CLAS SCRATCH]]</f>
        <v/>
      </c>
      <c r="O61" s="183" t="e">
        <f>IF(E61="M",IF(Tabla271318[[#This Row],[Tiempo]]="AB","",LOOKUP(Tabla271318[[#This Row],[CLAS CLASE]],'Datos puntos'!$A$25:$A$53,'Datos puntos'!$B$25:$B$53)),"")</f>
        <v>#N/A</v>
      </c>
      <c r="P61" s="183" t="e">
        <f>IF(Tabla271318[[#This Row],[Puntos scratch]]="","NO PUNTÚA",SUM(Tabla271318[[#This Row],[Puntos scratch]],Tabla271318[[#This Row],[Puntos clase]])*2)</f>
        <v>#N/A</v>
      </c>
      <c r="Q61" s="183" t="str">
        <f>IF(AND(G61="M",Tabla271318[[#This Row],[POS]]&lt;&gt;"AB",Tabla271318[[#This Row],[POS]]&lt;&gt;"DSQ"),COUNTIF($G$59:G61,"M"),"")</f>
        <v/>
      </c>
      <c r="R61" s="183" t="e">
        <f>IF(G61="M",IF(Tabla271318[[#This Row],[Tiempo]]="AB","",LOOKUP(Tabla271318[[#This Row],[CLAS SCRATCH2]],'Datos puntos'!$A$2:$A$23,'Datos puntos'!$B$2:$B$23)),"")</f>
        <v>#N/A</v>
      </c>
      <c r="S61" s="183" t="str">
        <f>Tabla271318[[#This Row],[CLAS SCRATCH2]]</f>
        <v/>
      </c>
      <c r="T61" s="183" t="e">
        <f>IF(G61="M",IF(Tabla271318[[#This Row],[Tiempo]]="AB","",LOOKUP(Tabla271318[[#This Row],[CLAS CLASE2]],'Datos puntos'!$A$25:$A$53,'Datos puntos'!$B$25:$B$53)),"")</f>
        <v>#N/A</v>
      </c>
      <c r="U61" s="183" t="e">
        <f>IF(Tabla271318[[#This Row],[Puntos scratch]]="","NO PUNTÚA",SUM(Tabla271318[[#This Row],[Puntos scratch]],Tabla271318[[#This Row],[Puntos clase]])*2)</f>
        <v>#N/A</v>
      </c>
    </row>
    <row r="62" spans="1:24" x14ac:dyDescent="0.35">
      <c r="A62" s="193"/>
      <c r="B62" s="176"/>
      <c r="C62" s="179"/>
      <c r="D62" s="179"/>
      <c r="E62" s="179"/>
      <c r="F62" s="179"/>
      <c r="G62" s="179"/>
      <c r="H62" s="179"/>
      <c r="I62" s="180"/>
      <c r="J62" s="180"/>
      <c r="K62" s="187"/>
      <c r="L62" s="183" t="str">
        <f>IF(AND(E62="M",Tabla271318[[#This Row],[POS]]&lt;&gt;"AB",Tabla271318[[#This Row],[POS]]&lt;&gt;"DSQ"),COUNTIF($E$59:E62,"M"),"")</f>
        <v/>
      </c>
      <c r="M62" s="183" t="str">
        <f>IF(E62="M",IF(Tabla271318[[#This Row],[Tiempo]]="AB","",LOOKUP(Tabla271318[[#This Row],[CLAS SCRATCH]],'Datos puntos'!$A$2:$A$23,'Datos puntos'!$B$2:$B$23)),"")</f>
        <v/>
      </c>
      <c r="N62" s="183" t="str">
        <f>Tabla271318[[#This Row],[CLAS SCRATCH]]</f>
        <v/>
      </c>
      <c r="O62" s="183" t="str">
        <f>IF(E62="M",IF(Tabla271318[[#This Row],[Tiempo]]="AB","",LOOKUP(Tabla271318[[#This Row],[CLAS CLASE]],'Datos puntos'!$A$25:$A$53,'Datos puntos'!$B$25:$B$53)),"")</f>
        <v/>
      </c>
      <c r="P62" s="183" t="str">
        <f>IF(Tabla271318[[#This Row],[Puntos scratch]]="","NO PUNTÚA",SUM(Tabla271318[[#This Row],[Puntos scratch]],Tabla271318[[#This Row],[Puntos clase]])*2)</f>
        <v>NO PUNTÚA</v>
      </c>
      <c r="Q62" s="183" t="str">
        <f>IF(AND(G62="M",Tabla271318[[#This Row],[POS]]&lt;&gt;"AB",Tabla271318[[#This Row],[POS]]&lt;&gt;"DSQ"),COUNTIF($G$59:G62,"M"),"")</f>
        <v/>
      </c>
      <c r="R62" s="183" t="str">
        <f>IF(G62="M",IF(Tabla271318[[#This Row],[Tiempo]]="AB","",LOOKUP(Tabla271318[[#This Row],[CLAS SCRATCH2]],'Datos puntos'!$A$2:$A$23,'Datos puntos'!$B$2:$B$23)),"")</f>
        <v/>
      </c>
      <c r="S62" s="183" t="str">
        <f>Tabla271318[[#This Row],[CLAS SCRATCH2]]</f>
        <v/>
      </c>
      <c r="T62" s="183" t="str">
        <f>IF(G62="M",IF(Tabla271318[[#This Row],[Tiempo]]="AB","",LOOKUP(Tabla271318[[#This Row],[CLAS CLASE2]],'Datos puntos'!$A$25:$A$53,'Datos puntos'!$B$25:$B$53)),"")</f>
        <v/>
      </c>
      <c r="U62" s="183" t="str">
        <f>IF(Tabla271318[[#This Row],[Puntos scratch]]="","NO PUNTÚA",SUM(Tabla271318[[#This Row],[Puntos scratch]],Tabla271318[[#This Row],[Puntos clase]])*2)</f>
        <v>NO PUNTÚA</v>
      </c>
    </row>
    <row r="63" spans="1:24" x14ac:dyDescent="0.35">
      <c r="A63" s="193"/>
      <c r="B63" s="176"/>
      <c r="C63" s="179"/>
      <c r="D63" s="179"/>
      <c r="E63" s="179"/>
      <c r="F63" s="179"/>
      <c r="G63" s="179"/>
      <c r="H63" s="179"/>
      <c r="I63" s="180"/>
      <c r="J63" s="180"/>
      <c r="K63" s="187"/>
      <c r="L63" s="189"/>
      <c r="M63" s="189"/>
      <c r="N63" s="182"/>
      <c r="O63" s="183"/>
      <c r="P63" s="183"/>
      <c r="Q63" s="183"/>
      <c r="R63" s="183"/>
      <c r="S63" s="183"/>
      <c r="T63" s="183"/>
      <c r="U63" s="183"/>
    </row>
    <row r="64" spans="1:24" ht="15.5" x14ac:dyDescent="0.35">
      <c r="A64" s="174"/>
      <c r="B64" s="174"/>
      <c r="C64" s="174"/>
      <c r="D64" s="174"/>
      <c r="E64" s="174"/>
      <c r="F64" s="174"/>
      <c r="G64" s="174"/>
      <c r="H64" s="174"/>
      <c r="I64" s="174"/>
      <c r="J64" s="174"/>
      <c r="K64" s="174"/>
      <c r="L64" s="175" t="s">
        <v>430</v>
      </c>
      <c r="M64" s="175"/>
      <c r="N64" s="174"/>
      <c r="O64" s="174"/>
      <c r="P64" s="199"/>
      <c r="Q64" s="199"/>
      <c r="R64" s="199"/>
      <c r="S64" s="176"/>
      <c r="T64" s="202"/>
      <c r="U64" s="199"/>
    </row>
    <row r="65" spans="1:14" x14ac:dyDescent="0.35">
      <c r="A65" s="213" t="s">
        <v>190</v>
      </c>
      <c r="B65" s="186" t="s">
        <v>191</v>
      </c>
      <c r="C65" s="186" t="s">
        <v>192</v>
      </c>
      <c r="D65" s="186" t="s">
        <v>347</v>
      </c>
      <c r="E65" s="186" t="s">
        <v>194</v>
      </c>
      <c r="F65" s="186" t="s">
        <v>197</v>
      </c>
      <c r="G65" s="186" t="s">
        <v>198</v>
      </c>
      <c r="H65" s="186" t="s">
        <v>2</v>
      </c>
      <c r="I65" s="213" t="s">
        <v>199</v>
      </c>
      <c r="J65" s="214" t="s">
        <v>214</v>
      </c>
      <c r="K65" s="214" t="s">
        <v>217</v>
      </c>
      <c r="L65" s="214" t="s">
        <v>254</v>
      </c>
      <c r="M65" s="214" t="s">
        <v>218</v>
      </c>
      <c r="N65" s="214" t="s">
        <v>219</v>
      </c>
    </row>
    <row r="66" spans="1:14" x14ac:dyDescent="0.35">
      <c r="A66" s="188">
        <v>1</v>
      </c>
      <c r="B66" s="176"/>
      <c r="C66" s="179" t="s">
        <v>232</v>
      </c>
      <c r="D66" s="179" t="s">
        <v>395</v>
      </c>
      <c r="E66" s="179" t="s">
        <v>168</v>
      </c>
      <c r="F66" s="179" t="s">
        <v>397</v>
      </c>
      <c r="G66" s="180" t="s">
        <v>202</v>
      </c>
      <c r="H66" s="180">
        <v>8</v>
      </c>
      <c r="I66" s="187"/>
      <c r="J66" s="183">
        <f>IF(AND(E66="M",Tabla23111621[[#This Row],[POS]]&lt;&gt;"AB",Tabla23111621[[#This Row],[POS]]&lt;&gt;"DSQ"),COUNTIF($E$66:E66,"M"),"")</f>
        <v>1</v>
      </c>
      <c r="K66" s="183">
        <f>IF(E66="M",IF(Tabla23111621[[#This Row],[Tiempo]]="AB","",LOOKUP(Tabla23111621[[#This Row],[CLAS SCRATCH]],'Datos puntos'!$A$2:$A$23,'Datos puntos'!$B$2:$B$23)),"")</f>
        <v>25</v>
      </c>
      <c r="L66" s="183">
        <f>Tabla23111621[[#This Row],[CLAS SCRATCH]]</f>
        <v>1</v>
      </c>
      <c r="M66" s="183">
        <f>IF(E66="M",IF(Tabla23111621[[#This Row],[Tiempo]]="AB","",LOOKUP(Tabla23111621[[#This Row],[CLAS CLASE]],'Datos puntos'!$A$25:$A$53,'Datos puntos'!$B$25:$B$53)),"")</f>
        <v>10</v>
      </c>
      <c r="N66" s="183">
        <f>IF(Tabla23111621[[#This Row],[Puntos scratch]]="","NO PUNTÚA",SUM(Tabla23111621[[#This Row],[Puntos scratch]],Tabla23111621[[#This Row],[Puntos clase]])*2)</f>
        <v>70</v>
      </c>
    </row>
    <row r="67" spans="1:14" x14ac:dyDescent="0.35">
      <c r="A67" s="176">
        <v>2</v>
      </c>
      <c r="B67" s="176"/>
      <c r="C67" s="179" t="s">
        <v>189</v>
      </c>
      <c r="D67" s="179" t="s">
        <v>349</v>
      </c>
      <c r="E67" s="179" t="s">
        <v>168</v>
      </c>
      <c r="F67" s="179" t="s">
        <v>440</v>
      </c>
      <c r="G67" s="180" t="s">
        <v>202</v>
      </c>
      <c r="H67" s="180">
        <v>8</v>
      </c>
      <c r="I67" s="187"/>
      <c r="J67" s="183">
        <f>IF(AND(E67="M",Tabla23111621[[#This Row],[POS]]&lt;&gt;"AB",Tabla23111621[[#This Row],[POS]]&lt;&gt;"DSQ"),COUNTIF($E$66:E67,"M"),"")</f>
        <v>2</v>
      </c>
      <c r="K67" s="183">
        <f>IF(E67="M",IF(Tabla23111621[[#This Row],[Tiempo]]="AB","",LOOKUP(Tabla23111621[[#This Row],[CLAS SCRATCH]],'Datos puntos'!$A$2:$A$23,'Datos puntos'!$B$2:$B$23)),"")</f>
        <v>20</v>
      </c>
      <c r="L67" s="183">
        <f>Tabla23111621[[#This Row],[CLAS SCRATCH]]</f>
        <v>2</v>
      </c>
      <c r="M67" s="183">
        <f>IF(E67="M",IF(Tabla23111621[[#This Row],[Tiempo]]="AB","",LOOKUP(Tabla23111621[[#This Row],[CLAS CLASE]],'Datos puntos'!$A$25:$A$53,'Datos puntos'!$B$25:$B$53)),"")</f>
        <v>8</v>
      </c>
      <c r="N67" s="183">
        <f>IF(Tabla23111621[[#This Row],[Puntos scratch]]="","NO PUNTÚA",SUM(Tabla23111621[[#This Row],[Puntos scratch]],Tabla23111621[[#This Row],[Puntos clase]])*2)</f>
        <v>56</v>
      </c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50" fitToHeight="0" orientation="landscape" r:id="rId1"/>
  <headerFooter>
    <oddHeader>&amp;R&amp;"Canaro Light"&amp;10&amp;K000000 Internal Use&amp;1#_x000D_</oddHeader>
  </headerFooter>
  <rowBreaks count="1" manualBreakCount="1">
    <brk id="63" max="14" man="1"/>
  </rowBreaks>
  <colBreaks count="1" manualBreakCount="1">
    <brk id="8" max="51" man="1"/>
  </colBreaks>
  <tableParts count="5">
    <tablePart r:id="rId2"/>
    <tablePart r:id="rId3"/>
    <tablePart r:id="rId4"/>
    <tablePart r:id="rId5"/>
    <tablePart r:id="rId6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0B729-79CD-4F31-9F52-EC721860F0E3}">
  <dimension ref="A1:AA68"/>
  <sheetViews>
    <sheetView topLeftCell="R1" zoomScale="80" zoomScaleNormal="80" zoomScaleSheetLayoutView="80" zoomScalePageLayoutView="78" workbookViewId="0">
      <selection activeCell="F26" sqref="F26"/>
    </sheetView>
  </sheetViews>
  <sheetFormatPr baseColWidth="10" defaultColWidth="10.69921875" defaultRowHeight="14.5" x14ac:dyDescent="0.35"/>
  <cols>
    <col min="1" max="1" width="9" style="190" customWidth="1"/>
    <col min="2" max="2" width="6.296875" style="172" customWidth="1"/>
    <col min="3" max="3" width="36.5" style="172" bestFit="1" customWidth="1"/>
    <col min="4" max="4" width="45.5" style="172" bestFit="1" customWidth="1"/>
    <col min="5" max="5" width="8.796875" style="172" customWidth="1"/>
    <col min="6" max="6" width="47.19921875" style="172" customWidth="1"/>
    <col min="7" max="7" width="10.19921875" style="172" customWidth="1"/>
    <col min="8" max="8" width="41.796875" style="172" customWidth="1"/>
    <col min="9" max="9" width="11.19921875" style="196" customWidth="1"/>
    <col min="10" max="10" width="10.5" style="196" customWidth="1"/>
    <col min="11" max="11" width="12.796875" style="197" bestFit="1" customWidth="1"/>
    <col min="12" max="12" width="17.19921875" style="172" bestFit="1" customWidth="1"/>
    <col min="13" max="13" width="22" style="172" bestFit="1" customWidth="1"/>
    <col min="14" max="14" width="21.5" style="172" bestFit="1" customWidth="1"/>
    <col min="15" max="15" width="26" style="172" bestFit="1" customWidth="1"/>
    <col min="16" max="16" width="25" style="172" bestFit="1" customWidth="1"/>
    <col min="17" max="17" width="20.69921875" style="172" bestFit="1" customWidth="1"/>
    <col min="18" max="18" width="22.296875" style="172" bestFit="1" customWidth="1"/>
    <col min="19" max="19" width="34.796875" style="172" bestFit="1" customWidth="1"/>
    <col min="20" max="20" width="28.5" style="172" customWidth="1"/>
    <col min="21" max="21" width="23" style="172" bestFit="1" customWidth="1"/>
    <col min="22" max="22" width="19.19921875" style="172" bestFit="1" customWidth="1"/>
    <col min="23" max="23" width="21" style="172" bestFit="1" customWidth="1"/>
    <col min="24" max="24" width="32.19921875" style="172" bestFit="1" customWidth="1"/>
    <col min="25" max="25" width="10.69921875" style="172"/>
    <col min="26" max="26" width="25.69921875" style="172" bestFit="1" customWidth="1"/>
    <col min="27" max="256" width="10.69921875" style="172"/>
    <col min="257" max="257" width="9" style="172" customWidth="1"/>
    <col min="258" max="258" width="6.296875" style="172" customWidth="1"/>
    <col min="259" max="259" width="33.5" style="172" bestFit="1" customWidth="1"/>
    <col min="260" max="260" width="45.5" style="172" bestFit="1" customWidth="1"/>
    <col min="261" max="261" width="8.796875" style="172" customWidth="1"/>
    <col min="262" max="262" width="47.19921875" style="172" customWidth="1"/>
    <col min="263" max="263" width="10.19921875" style="172" customWidth="1"/>
    <col min="264" max="264" width="41.796875" style="172" customWidth="1"/>
    <col min="265" max="265" width="11.19921875" style="172" customWidth="1"/>
    <col min="266" max="266" width="10.5" style="172" customWidth="1"/>
    <col min="267" max="267" width="16" style="172" bestFit="1" customWidth="1"/>
    <col min="268" max="268" width="13.19921875" style="172" customWidth="1"/>
    <col min="269" max="269" width="11.796875" style="172" customWidth="1"/>
    <col min="270" max="270" width="9.69921875" style="172" customWidth="1"/>
    <col min="271" max="512" width="10.69921875" style="172"/>
    <col min="513" max="513" width="9" style="172" customWidth="1"/>
    <col min="514" max="514" width="6.296875" style="172" customWidth="1"/>
    <col min="515" max="515" width="33.5" style="172" bestFit="1" customWidth="1"/>
    <col min="516" max="516" width="45.5" style="172" bestFit="1" customWidth="1"/>
    <col min="517" max="517" width="8.796875" style="172" customWidth="1"/>
    <col min="518" max="518" width="47.19921875" style="172" customWidth="1"/>
    <col min="519" max="519" width="10.19921875" style="172" customWidth="1"/>
    <col min="520" max="520" width="41.796875" style="172" customWidth="1"/>
    <col min="521" max="521" width="11.19921875" style="172" customWidth="1"/>
    <col min="522" max="522" width="10.5" style="172" customWidth="1"/>
    <col min="523" max="523" width="16" style="172" bestFit="1" customWidth="1"/>
    <col min="524" max="524" width="13.19921875" style="172" customWidth="1"/>
    <col min="525" max="525" width="11.796875" style="172" customWidth="1"/>
    <col min="526" max="526" width="9.69921875" style="172" customWidth="1"/>
    <col min="527" max="768" width="10.69921875" style="172"/>
    <col min="769" max="769" width="9" style="172" customWidth="1"/>
    <col min="770" max="770" width="6.296875" style="172" customWidth="1"/>
    <col min="771" max="771" width="33.5" style="172" bestFit="1" customWidth="1"/>
    <col min="772" max="772" width="45.5" style="172" bestFit="1" customWidth="1"/>
    <col min="773" max="773" width="8.796875" style="172" customWidth="1"/>
    <col min="774" max="774" width="47.19921875" style="172" customWidth="1"/>
    <col min="775" max="775" width="10.19921875" style="172" customWidth="1"/>
    <col min="776" max="776" width="41.796875" style="172" customWidth="1"/>
    <col min="777" max="777" width="11.19921875" style="172" customWidth="1"/>
    <col min="778" max="778" width="10.5" style="172" customWidth="1"/>
    <col min="779" max="779" width="16" style="172" bestFit="1" customWidth="1"/>
    <col min="780" max="780" width="13.19921875" style="172" customWidth="1"/>
    <col min="781" max="781" width="11.796875" style="172" customWidth="1"/>
    <col min="782" max="782" width="9.69921875" style="172" customWidth="1"/>
    <col min="783" max="1024" width="10.69921875" style="172"/>
    <col min="1025" max="1025" width="9" style="172" customWidth="1"/>
    <col min="1026" max="1026" width="6.296875" style="172" customWidth="1"/>
    <col min="1027" max="1027" width="33.5" style="172" bestFit="1" customWidth="1"/>
    <col min="1028" max="1028" width="45.5" style="172" bestFit="1" customWidth="1"/>
    <col min="1029" max="1029" width="8.796875" style="172" customWidth="1"/>
    <col min="1030" max="1030" width="47.19921875" style="172" customWidth="1"/>
    <col min="1031" max="1031" width="10.19921875" style="172" customWidth="1"/>
    <col min="1032" max="1032" width="41.796875" style="172" customWidth="1"/>
    <col min="1033" max="1033" width="11.19921875" style="172" customWidth="1"/>
    <col min="1034" max="1034" width="10.5" style="172" customWidth="1"/>
    <col min="1035" max="1035" width="16" style="172" bestFit="1" customWidth="1"/>
    <col min="1036" max="1036" width="13.19921875" style="172" customWidth="1"/>
    <col min="1037" max="1037" width="11.796875" style="172" customWidth="1"/>
    <col min="1038" max="1038" width="9.69921875" style="172" customWidth="1"/>
    <col min="1039" max="1280" width="10.69921875" style="172"/>
    <col min="1281" max="1281" width="9" style="172" customWidth="1"/>
    <col min="1282" max="1282" width="6.296875" style="172" customWidth="1"/>
    <col min="1283" max="1283" width="33.5" style="172" bestFit="1" customWidth="1"/>
    <col min="1284" max="1284" width="45.5" style="172" bestFit="1" customWidth="1"/>
    <col min="1285" max="1285" width="8.796875" style="172" customWidth="1"/>
    <col min="1286" max="1286" width="47.19921875" style="172" customWidth="1"/>
    <col min="1287" max="1287" width="10.19921875" style="172" customWidth="1"/>
    <col min="1288" max="1288" width="41.796875" style="172" customWidth="1"/>
    <col min="1289" max="1289" width="11.19921875" style="172" customWidth="1"/>
    <col min="1290" max="1290" width="10.5" style="172" customWidth="1"/>
    <col min="1291" max="1291" width="16" style="172" bestFit="1" customWidth="1"/>
    <col min="1292" max="1292" width="13.19921875" style="172" customWidth="1"/>
    <col min="1293" max="1293" width="11.796875" style="172" customWidth="1"/>
    <col min="1294" max="1294" width="9.69921875" style="172" customWidth="1"/>
    <col min="1295" max="1536" width="10.69921875" style="172"/>
    <col min="1537" max="1537" width="9" style="172" customWidth="1"/>
    <col min="1538" max="1538" width="6.296875" style="172" customWidth="1"/>
    <col min="1539" max="1539" width="33.5" style="172" bestFit="1" customWidth="1"/>
    <col min="1540" max="1540" width="45.5" style="172" bestFit="1" customWidth="1"/>
    <col min="1541" max="1541" width="8.796875" style="172" customWidth="1"/>
    <col min="1542" max="1542" width="47.19921875" style="172" customWidth="1"/>
    <col min="1543" max="1543" width="10.19921875" style="172" customWidth="1"/>
    <col min="1544" max="1544" width="41.796875" style="172" customWidth="1"/>
    <col min="1545" max="1545" width="11.19921875" style="172" customWidth="1"/>
    <col min="1546" max="1546" width="10.5" style="172" customWidth="1"/>
    <col min="1547" max="1547" width="16" style="172" bestFit="1" customWidth="1"/>
    <col min="1548" max="1548" width="13.19921875" style="172" customWidth="1"/>
    <col min="1549" max="1549" width="11.796875" style="172" customWidth="1"/>
    <col min="1550" max="1550" width="9.69921875" style="172" customWidth="1"/>
    <col min="1551" max="1792" width="10.69921875" style="172"/>
    <col min="1793" max="1793" width="9" style="172" customWidth="1"/>
    <col min="1794" max="1794" width="6.296875" style="172" customWidth="1"/>
    <col min="1795" max="1795" width="33.5" style="172" bestFit="1" customWidth="1"/>
    <col min="1796" max="1796" width="45.5" style="172" bestFit="1" customWidth="1"/>
    <col min="1797" max="1797" width="8.796875" style="172" customWidth="1"/>
    <col min="1798" max="1798" width="47.19921875" style="172" customWidth="1"/>
    <col min="1799" max="1799" width="10.19921875" style="172" customWidth="1"/>
    <col min="1800" max="1800" width="41.796875" style="172" customWidth="1"/>
    <col min="1801" max="1801" width="11.19921875" style="172" customWidth="1"/>
    <col min="1802" max="1802" width="10.5" style="172" customWidth="1"/>
    <col min="1803" max="1803" width="16" style="172" bestFit="1" customWidth="1"/>
    <col min="1804" max="1804" width="13.19921875" style="172" customWidth="1"/>
    <col min="1805" max="1805" width="11.796875" style="172" customWidth="1"/>
    <col min="1806" max="1806" width="9.69921875" style="172" customWidth="1"/>
    <col min="1807" max="2048" width="10.69921875" style="172"/>
    <col min="2049" max="2049" width="9" style="172" customWidth="1"/>
    <col min="2050" max="2050" width="6.296875" style="172" customWidth="1"/>
    <col min="2051" max="2051" width="33.5" style="172" bestFit="1" customWidth="1"/>
    <col min="2052" max="2052" width="45.5" style="172" bestFit="1" customWidth="1"/>
    <col min="2053" max="2053" width="8.796875" style="172" customWidth="1"/>
    <col min="2054" max="2054" width="47.19921875" style="172" customWidth="1"/>
    <col min="2055" max="2055" width="10.19921875" style="172" customWidth="1"/>
    <col min="2056" max="2056" width="41.796875" style="172" customWidth="1"/>
    <col min="2057" max="2057" width="11.19921875" style="172" customWidth="1"/>
    <col min="2058" max="2058" width="10.5" style="172" customWidth="1"/>
    <col min="2059" max="2059" width="16" style="172" bestFit="1" customWidth="1"/>
    <col min="2060" max="2060" width="13.19921875" style="172" customWidth="1"/>
    <col min="2061" max="2061" width="11.796875" style="172" customWidth="1"/>
    <col min="2062" max="2062" width="9.69921875" style="172" customWidth="1"/>
    <col min="2063" max="2304" width="10.69921875" style="172"/>
    <col min="2305" max="2305" width="9" style="172" customWidth="1"/>
    <col min="2306" max="2306" width="6.296875" style="172" customWidth="1"/>
    <col min="2307" max="2307" width="33.5" style="172" bestFit="1" customWidth="1"/>
    <col min="2308" max="2308" width="45.5" style="172" bestFit="1" customWidth="1"/>
    <col min="2309" max="2309" width="8.796875" style="172" customWidth="1"/>
    <col min="2310" max="2310" width="47.19921875" style="172" customWidth="1"/>
    <col min="2311" max="2311" width="10.19921875" style="172" customWidth="1"/>
    <col min="2312" max="2312" width="41.796875" style="172" customWidth="1"/>
    <col min="2313" max="2313" width="11.19921875" style="172" customWidth="1"/>
    <col min="2314" max="2314" width="10.5" style="172" customWidth="1"/>
    <col min="2315" max="2315" width="16" style="172" bestFit="1" customWidth="1"/>
    <col min="2316" max="2316" width="13.19921875" style="172" customWidth="1"/>
    <col min="2317" max="2317" width="11.796875" style="172" customWidth="1"/>
    <col min="2318" max="2318" width="9.69921875" style="172" customWidth="1"/>
    <col min="2319" max="2560" width="10.69921875" style="172"/>
    <col min="2561" max="2561" width="9" style="172" customWidth="1"/>
    <col min="2562" max="2562" width="6.296875" style="172" customWidth="1"/>
    <col min="2563" max="2563" width="33.5" style="172" bestFit="1" customWidth="1"/>
    <col min="2564" max="2564" width="45.5" style="172" bestFit="1" customWidth="1"/>
    <col min="2565" max="2565" width="8.796875" style="172" customWidth="1"/>
    <col min="2566" max="2566" width="47.19921875" style="172" customWidth="1"/>
    <col min="2567" max="2567" width="10.19921875" style="172" customWidth="1"/>
    <col min="2568" max="2568" width="41.796875" style="172" customWidth="1"/>
    <col min="2569" max="2569" width="11.19921875" style="172" customWidth="1"/>
    <col min="2570" max="2570" width="10.5" style="172" customWidth="1"/>
    <col min="2571" max="2571" width="16" style="172" bestFit="1" customWidth="1"/>
    <col min="2572" max="2572" width="13.19921875" style="172" customWidth="1"/>
    <col min="2573" max="2573" width="11.796875" style="172" customWidth="1"/>
    <col min="2574" max="2574" width="9.69921875" style="172" customWidth="1"/>
    <col min="2575" max="2816" width="10.69921875" style="172"/>
    <col min="2817" max="2817" width="9" style="172" customWidth="1"/>
    <col min="2818" max="2818" width="6.296875" style="172" customWidth="1"/>
    <col min="2819" max="2819" width="33.5" style="172" bestFit="1" customWidth="1"/>
    <col min="2820" max="2820" width="45.5" style="172" bestFit="1" customWidth="1"/>
    <col min="2821" max="2821" width="8.796875" style="172" customWidth="1"/>
    <col min="2822" max="2822" width="47.19921875" style="172" customWidth="1"/>
    <col min="2823" max="2823" width="10.19921875" style="172" customWidth="1"/>
    <col min="2824" max="2824" width="41.796875" style="172" customWidth="1"/>
    <col min="2825" max="2825" width="11.19921875" style="172" customWidth="1"/>
    <col min="2826" max="2826" width="10.5" style="172" customWidth="1"/>
    <col min="2827" max="2827" width="16" style="172" bestFit="1" customWidth="1"/>
    <col min="2828" max="2828" width="13.19921875" style="172" customWidth="1"/>
    <col min="2829" max="2829" width="11.796875" style="172" customWidth="1"/>
    <col min="2830" max="2830" width="9.69921875" style="172" customWidth="1"/>
    <col min="2831" max="3072" width="10.69921875" style="172"/>
    <col min="3073" max="3073" width="9" style="172" customWidth="1"/>
    <col min="3074" max="3074" width="6.296875" style="172" customWidth="1"/>
    <col min="3075" max="3075" width="33.5" style="172" bestFit="1" customWidth="1"/>
    <col min="3076" max="3076" width="45.5" style="172" bestFit="1" customWidth="1"/>
    <col min="3077" max="3077" width="8.796875" style="172" customWidth="1"/>
    <col min="3078" max="3078" width="47.19921875" style="172" customWidth="1"/>
    <col min="3079" max="3079" width="10.19921875" style="172" customWidth="1"/>
    <col min="3080" max="3080" width="41.796875" style="172" customWidth="1"/>
    <col min="3081" max="3081" width="11.19921875" style="172" customWidth="1"/>
    <col min="3082" max="3082" width="10.5" style="172" customWidth="1"/>
    <col min="3083" max="3083" width="16" style="172" bestFit="1" customWidth="1"/>
    <col min="3084" max="3084" width="13.19921875" style="172" customWidth="1"/>
    <col min="3085" max="3085" width="11.796875" style="172" customWidth="1"/>
    <col min="3086" max="3086" width="9.69921875" style="172" customWidth="1"/>
    <col min="3087" max="3328" width="10.69921875" style="172"/>
    <col min="3329" max="3329" width="9" style="172" customWidth="1"/>
    <col min="3330" max="3330" width="6.296875" style="172" customWidth="1"/>
    <col min="3331" max="3331" width="33.5" style="172" bestFit="1" customWidth="1"/>
    <col min="3332" max="3332" width="45.5" style="172" bestFit="1" customWidth="1"/>
    <col min="3333" max="3333" width="8.796875" style="172" customWidth="1"/>
    <col min="3334" max="3334" width="47.19921875" style="172" customWidth="1"/>
    <col min="3335" max="3335" width="10.19921875" style="172" customWidth="1"/>
    <col min="3336" max="3336" width="41.796875" style="172" customWidth="1"/>
    <col min="3337" max="3337" width="11.19921875" style="172" customWidth="1"/>
    <col min="3338" max="3338" width="10.5" style="172" customWidth="1"/>
    <col min="3339" max="3339" width="16" style="172" bestFit="1" customWidth="1"/>
    <col min="3340" max="3340" width="13.19921875" style="172" customWidth="1"/>
    <col min="3341" max="3341" width="11.796875" style="172" customWidth="1"/>
    <col min="3342" max="3342" width="9.69921875" style="172" customWidth="1"/>
    <col min="3343" max="3584" width="10.69921875" style="172"/>
    <col min="3585" max="3585" width="9" style="172" customWidth="1"/>
    <col min="3586" max="3586" width="6.296875" style="172" customWidth="1"/>
    <col min="3587" max="3587" width="33.5" style="172" bestFit="1" customWidth="1"/>
    <col min="3588" max="3588" width="45.5" style="172" bestFit="1" customWidth="1"/>
    <col min="3589" max="3589" width="8.796875" style="172" customWidth="1"/>
    <col min="3590" max="3590" width="47.19921875" style="172" customWidth="1"/>
    <col min="3591" max="3591" width="10.19921875" style="172" customWidth="1"/>
    <col min="3592" max="3592" width="41.796875" style="172" customWidth="1"/>
    <col min="3593" max="3593" width="11.19921875" style="172" customWidth="1"/>
    <col min="3594" max="3594" width="10.5" style="172" customWidth="1"/>
    <col min="3595" max="3595" width="16" style="172" bestFit="1" customWidth="1"/>
    <col min="3596" max="3596" width="13.19921875" style="172" customWidth="1"/>
    <col min="3597" max="3597" width="11.796875" style="172" customWidth="1"/>
    <col min="3598" max="3598" width="9.69921875" style="172" customWidth="1"/>
    <col min="3599" max="3840" width="10.69921875" style="172"/>
    <col min="3841" max="3841" width="9" style="172" customWidth="1"/>
    <col min="3842" max="3842" width="6.296875" style="172" customWidth="1"/>
    <col min="3843" max="3843" width="33.5" style="172" bestFit="1" customWidth="1"/>
    <col min="3844" max="3844" width="45.5" style="172" bestFit="1" customWidth="1"/>
    <col min="3845" max="3845" width="8.796875" style="172" customWidth="1"/>
    <col min="3846" max="3846" width="47.19921875" style="172" customWidth="1"/>
    <col min="3847" max="3847" width="10.19921875" style="172" customWidth="1"/>
    <col min="3848" max="3848" width="41.796875" style="172" customWidth="1"/>
    <col min="3849" max="3849" width="11.19921875" style="172" customWidth="1"/>
    <col min="3850" max="3850" width="10.5" style="172" customWidth="1"/>
    <col min="3851" max="3851" width="16" style="172" bestFit="1" customWidth="1"/>
    <col min="3852" max="3852" width="13.19921875" style="172" customWidth="1"/>
    <col min="3853" max="3853" width="11.796875" style="172" customWidth="1"/>
    <col min="3854" max="3854" width="9.69921875" style="172" customWidth="1"/>
    <col min="3855" max="4096" width="10.69921875" style="172"/>
    <col min="4097" max="4097" width="9" style="172" customWidth="1"/>
    <col min="4098" max="4098" width="6.296875" style="172" customWidth="1"/>
    <col min="4099" max="4099" width="33.5" style="172" bestFit="1" customWidth="1"/>
    <col min="4100" max="4100" width="45.5" style="172" bestFit="1" customWidth="1"/>
    <col min="4101" max="4101" width="8.796875" style="172" customWidth="1"/>
    <col min="4102" max="4102" width="47.19921875" style="172" customWidth="1"/>
    <col min="4103" max="4103" width="10.19921875" style="172" customWidth="1"/>
    <col min="4104" max="4104" width="41.796875" style="172" customWidth="1"/>
    <col min="4105" max="4105" width="11.19921875" style="172" customWidth="1"/>
    <col min="4106" max="4106" width="10.5" style="172" customWidth="1"/>
    <col min="4107" max="4107" width="16" style="172" bestFit="1" customWidth="1"/>
    <col min="4108" max="4108" width="13.19921875" style="172" customWidth="1"/>
    <col min="4109" max="4109" width="11.796875" style="172" customWidth="1"/>
    <col min="4110" max="4110" width="9.69921875" style="172" customWidth="1"/>
    <col min="4111" max="4352" width="10.69921875" style="172"/>
    <col min="4353" max="4353" width="9" style="172" customWidth="1"/>
    <col min="4354" max="4354" width="6.296875" style="172" customWidth="1"/>
    <col min="4355" max="4355" width="33.5" style="172" bestFit="1" customWidth="1"/>
    <col min="4356" max="4356" width="45.5" style="172" bestFit="1" customWidth="1"/>
    <col min="4357" max="4357" width="8.796875" style="172" customWidth="1"/>
    <col min="4358" max="4358" width="47.19921875" style="172" customWidth="1"/>
    <col min="4359" max="4359" width="10.19921875" style="172" customWidth="1"/>
    <col min="4360" max="4360" width="41.796875" style="172" customWidth="1"/>
    <col min="4361" max="4361" width="11.19921875" style="172" customWidth="1"/>
    <col min="4362" max="4362" width="10.5" style="172" customWidth="1"/>
    <col min="4363" max="4363" width="16" style="172" bestFit="1" customWidth="1"/>
    <col min="4364" max="4364" width="13.19921875" style="172" customWidth="1"/>
    <col min="4365" max="4365" width="11.796875" style="172" customWidth="1"/>
    <col min="4366" max="4366" width="9.69921875" style="172" customWidth="1"/>
    <col min="4367" max="4608" width="10.69921875" style="172"/>
    <col min="4609" max="4609" width="9" style="172" customWidth="1"/>
    <col min="4610" max="4610" width="6.296875" style="172" customWidth="1"/>
    <col min="4611" max="4611" width="33.5" style="172" bestFit="1" customWidth="1"/>
    <col min="4612" max="4612" width="45.5" style="172" bestFit="1" customWidth="1"/>
    <col min="4613" max="4613" width="8.796875" style="172" customWidth="1"/>
    <col min="4614" max="4614" width="47.19921875" style="172" customWidth="1"/>
    <col min="4615" max="4615" width="10.19921875" style="172" customWidth="1"/>
    <col min="4616" max="4616" width="41.796875" style="172" customWidth="1"/>
    <col min="4617" max="4617" width="11.19921875" style="172" customWidth="1"/>
    <col min="4618" max="4618" width="10.5" style="172" customWidth="1"/>
    <col min="4619" max="4619" width="16" style="172" bestFit="1" customWidth="1"/>
    <col min="4620" max="4620" width="13.19921875" style="172" customWidth="1"/>
    <col min="4621" max="4621" width="11.796875" style="172" customWidth="1"/>
    <col min="4622" max="4622" width="9.69921875" style="172" customWidth="1"/>
    <col min="4623" max="4864" width="10.69921875" style="172"/>
    <col min="4865" max="4865" width="9" style="172" customWidth="1"/>
    <col min="4866" max="4866" width="6.296875" style="172" customWidth="1"/>
    <col min="4867" max="4867" width="33.5" style="172" bestFit="1" customWidth="1"/>
    <col min="4868" max="4868" width="45.5" style="172" bestFit="1" customWidth="1"/>
    <col min="4869" max="4869" width="8.796875" style="172" customWidth="1"/>
    <col min="4870" max="4870" width="47.19921875" style="172" customWidth="1"/>
    <col min="4871" max="4871" width="10.19921875" style="172" customWidth="1"/>
    <col min="4872" max="4872" width="41.796875" style="172" customWidth="1"/>
    <col min="4873" max="4873" width="11.19921875" style="172" customWidth="1"/>
    <col min="4874" max="4874" width="10.5" style="172" customWidth="1"/>
    <col min="4875" max="4875" width="16" style="172" bestFit="1" customWidth="1"/>
    <col min="4876" max="4876" width="13.19921875" style="172" customWidth="1"/>
    <col min="4877" max="4877" width="11.796875" style="172" customWidth="1"/>
    <col min="4878" max="4878" width="9.69921875" style="172" customWidth="1"/>
    <col min="4879" max="5120" width="10.69921875" style="172"/>
    <col min="5121" max="5121" width="9" style="172" customWidth="1"/>
    <col min="5122" max="5122" width="6.296875" style="172" customWidth="1"/>
    <col min="5123" max="5123" width="33.5" style="172" bestFit="1" customWidth="1"/>
    <col min="5124" max="5124" width="45.5" style="172" bestFit="1" customWidth="1"/>
    <col min="5125" max="5125" width="8.796875" style="172" customWidth="1"/>
    <col min="5126" max="5126" width="47.19921875" style="172" customWidth="1"/>
    <col min="5127" max="5127" width="10.19921875" style="172" customWidth="1"/>
    <col min="5128" max="5128" width="41.796875" style="172" customWidth="1"/>
    <col min="5129" max="5129" width="11.19921875" style="172" customWidth="1"/>
    <col min="5130" max="5130" width="10.5" style="172" customWidth="1"/>
    <col min="5131" max="5131" width="16" style="172" bestFit="1" customWidth="1"/>
    <col min="5132" max="5132" width="13.19921875" style="172" customWidth="1"/>
    <col min="5133" max="5133" width="11.796875" style="172" customWidth="1"/>
    <col min="5134" max="5134" width="9.69921875" style="172" customWidth="1"/>
    <col min="5135" max="5376" width="10.69921875" style="172"/>
    <col min="5377" max="5377" width="9" style="172" customWidth="1"/>
    <col min="5378" max="5378" width="6.296875" style="172" customWidth="1"/>
    <col min="5379" max="5379" width="33.5" style="172" bestFit="1" customWidth="1"/>
    <col min="5380" max="5380" width="45.5" style="172" bestFit="1" customWidth="1"/>
    <col min="5381" max="5381" width="8.796875" style="172" customWidth="1"/>
    <col min="5382" max="5382" width="47.19921875" style="172" customWidth="1"/>
    <col min="5383" max="5383" width="10.19921875" style="172" customWidth="1"/>
    <col min="5384" max="5384" width="41.796875" style="172" customWidth="1"/>
    <col min="5385" max="5385" width="11.19921875" style="172" customWidth="1"/>
    <col min="5386" max="5386" width="10.5" style="172" customWidth="1"/>
    <col min="5387" max="5387" width="16" style="172" bestFit="1" customWidth="1"/>
    <col min="5388" max="5388" width="13.19921875" style="172" customWidth="1"/>
    <col min="5389" max="5389" width="11.796875" style="172" customWidth="1"/>
    <col min="5390" max="5390" width="9.69921875" style="172" customWidth="1"/>
    <col min="5391" max="5632" width="10.69921875" style="172"/>
    <col min="5633" max="5633" width="9" style="172" customWidth="1"/>
    <col min="5634" max="5634" width="6.296875" style="172" customWidth="1"/>
    <col min="5635" max="5635" width="33.5" style="172" bestFit="1" customWidth="1"/>
    <col min="5636" max="5636" width="45.5" style="172" bestFit="1" customWidth="1"/>
    <col min="5637" max="5637" width="8.796875" style="172" customWidth="1"/>
    <col min="5638" max="5638" width="47.19921875" style="172" customWidth="1"/>
    <col min="5639" max="5639" width="10.19921875" style="172" customWidth="1"/>
    <col min="5640" max="5640" width="41.796875" style="172" customWidth="1"/>
    <col min="5641" max="5641" width="11.19921875" style="172" customWidth="1"/>
    <col min="5642" max="5642" width="10.5" style="172" customWidth="1"/>
    <col min="5643" max="5643" width="16" style="172" bestFit="1" customWidth="1"/>
    <col min="5644" max="5644" width="13.19921875" style="172" customWidth="1"/>
    <col min="5645" max="5645" width="11.796875" style="172" customWidth="1"/>
    <col min="5646" max="5646" width="9.69921875" style="172" customWidth="1"/>
    <col min="5647" max="5888" width="10.69921875" style="172"/>
    <col min="5889" max="5889" width="9" style="172" customWidth="1"/>
    <col min="5890" max="5890" width="6.296875" style="172" customWidth="1"/>
    <col min="5891" max="5891" width="33.5" style="172" bestFit="1" customWidth="1"/>
    <col min="5892" max="5892" width="45.5" style="172" bestFit="1" customWidth="1"/>
    <col min="5893" max="5893" width="8.796875" style="172" customWidth="1"/>
    <col min="5894" max="5894" width="47.19921875" style="172" customWidth="1"/>
    <col min="5895" max="5895" width="10.19921875" style="172" customWidth="1"/>
    <col min="5896" max="5896" width="41.796875" style="172" customWidth="1"/>
    <col min="5897" max="5897" width="11.19921875" style="172" customWidth="1"/>
    <col min="5898" max="5898" width="10.5" style="172" customWidth="1"/>
    <col min="5899" max="5899" width="16" style="172" bestFit="1" customWidth="1"/>
    <col min="5900" max="5900" width="13.19921875" style="172" customWidth="1"/>
    <col min="5901" max="5901" width="11.796875" style="172" customWidth="1"/>
    <col min="5902" max="5902" width="9.69921875" style="172" customWidth="1"/>
    <col min="5903" max="6144" width="10.69921875" style="172"/>
    <col min="6145" max="6145" width="9" style="172" customWidth="1"/>
    <col min="6146" max="6146" width="6.296875" style="172" customWidth="1"/>
    <col min="6147" max="6147" width="33.5" style="172" bestFit="1" customWidth="1"/>
    <col min="6148" max="6148" width="45.5" style="172" bestFit="1" customWidth="1"/>
    <col min="6149" max="6149" width="8.796875" style="172" customWidth="1"/>
    <col min="6150" max="6150" width="47.19921875" style="172" customWidth="1"/>
    <col min="6151" max="6151" width="10.19921875" style="172" customWidth="1"/>
    <col min="6152" max="6152" width="41.796875" style="172" customWidth="1"/>
    <col min="6153" max="6153" width="11.19921875" style="172" customWidth="1"/>
    <col min="6154" max="6154" width="10.5" style="172" customWidth="1"/>
    <col min="6155" max="6155" width="16" style="172" bestFit="1" customWidth="1"/>
    <col min="6156" max="6156" width="13.19921875" style="172" customWidth="1"/>
    <col min="6157" max="6157" width="11.796875" style="172" customWidth="1"/>
    <col min="6158" max="6158" width="9.69921875" style="172" customWidth="1"/>
    <col min="6159" max="6400" width="10.69921875" style="172"/>
    <col min="6401" max="6401" width="9" style="172" customWidth="1"/>
    <col min="6402" max="6402" width="6.296875" style="172" customWidth="1"/>
    <col min="6403" max="6403" width="33.5" style="172" bestFit="1" customWidth="1"/>
    <col min="6404" max="6404" width="45.5" style="172" bestFit="1" customWidth="1"/>
    <col min="6405" max="6405" width="8.796875" style="172" customWidth="1"/>
    <col min="6406" max="6406" width="47.19921875" style="172" customWidth="1"/>
    <col min="6407" max="6407" width="10.19921875" style="172" customWidth="1"/>
    <col min="6408" max="6408" width="41.796875" style="172" customWidth="1"/>
    <col min="6409" max="6409" width="11.19921875" style="172" customWidth="1"/>
    <col min="6410" max="6410" width="10.5" style="172" customWidth="1"/>
    <col min="6411" max="6411" width="16" style="172" bestFit="1" customWidth="1"/>
    <col min="6412" max="6412" width="13.19921875" style="172" customWidth="1"/>
    <col min="6413" max="6413" width="11.796875" style="172" customWidth="1"/>
    <col min="6414" max="6414" width="9.69921875" style="172" customWidth="1"/>
    <col min="6415" max="6656" width="10.69921875" style="172"/>
    <col min="6657" max="6657" width="9" style="172" customWidth="1"/>
    <col min="6658" max="6658" width="6.296875" style="172" customWidth="1"/>
    <col min="6659" max="6659" width="33.5" style="172" bestFit="1" customWidth="1"/>
    <col min="6660" max="6660" width="45.5" style="172" bestFit="1" customWidth="1"/>
    <col min="6661" max="6661" width="8.796875" style="172" customWidth="1"/>
    <col min="6662" max="6662" width="47.19921875" style="172" customWidth="1"/>
    <col min="6663" max="6663" width="10.19921875" style="172" customWidth="1"/>
    <col min="6664" max="6664" width="41.796875" style="172" customWidth="1"/>
    <col min="6665" max="6665" width="11.19921875" style="172" customWidth="1"/>
    <col min="6666" max="6666" width="10.5" style="172" customWidth="1"/>
    <col min="6667" max="6667" width="16" style="172" bestFit="1" customWidth="1"/>
    <col min="6668" max="6668" width="13.19921875" style="172" customWidth="1"/>
    <col min="6669" max="6669" width="11.796875" style="172" customWidth="1"/>
    <col min="6670" max="6670" width="9.69921875" style="172" customWidth="1"/>
    <col min="6671" max="6912" width="10.69921875" style="172"/>
    <col min="6913" max="6913" width="9" style="172" customWidth="1"/>
    <col min="6914" max="6914" width="6.296875" style="172" customWidth="1"/>
    <col min="6915" max="6915" width="33.5" style="172" bestFit="1" customWidth="1"/>
    <col min="6916" max="6916" width="45.5" style="172" bestFit="1" customWidth="1"/>
    <col min="6917" max="6917" width="8.796875" style="172" customWidth="1"/>
    <col min="6918" max="6918" width="47.19921875" style="172" customWidth="1"/>
    <col min="6919" max="6919" width="10.19921875" style="172" customWidth="1"/>
    <col min="6920" max="6920" width="41.796875" style="172" customWidth="1"/>
    <col min="6921" max="6921" width="11.19921875" style="172" customWidth="1"/>
    <col min="6922" max="6922" width="10.5" style="172" customWidth="1"/>
    <col min="6923" max="6923" width="16" style="172" bestFit="1" customWidth="1"/>
    <col min="6924" max="6924" width="13.19921875" style="172" customWidth="1"/>
    <col min="6925" max="6925" width="11.796875" style="172" customWidth="1"/>
    <col min="6926" max="6926" width="9.69921875" style="172" customWidth="1"/>
    <col min="6927" max="7168" width="10.69921875" style="172"/>
    <col min="7169" max="7169" width="9" style="172" customWidth="1"/>
    <col min="7170" max="7170" width="6.296875" style="172" customWidth="1"/>
    <col min="7171" max="7171" width="33.5" style="172" bestFit="1" customWidth="1"/>
    <col min="7172" max="7172" width="45.5" style="172" bestFit="1" customWidth="1"/>
    <col min="7173" max="7173" width="8.796875" style="172" customWidth="1"/>
    <col min="7174" max="7174" width="47.19921875" style="172" customWidth="1"/>
    <col min="7175" max="7175" width="10.19921875" style="172" customWidth="1"/>
    <col min="7176" max="7176" width="41.796875" style="172" customWidth="1"/>
    <col min="7177" max="7177" width="11.19921875" style="172" customWidth="1"/>
    <col min="7178" max="7178" width="10.5" style="172" customWidth="1"/>
    <col min="7179" max="7179" width="16" style="172" bestFit="1" customWidth="1"/>
    <col min="7180" max="7180" width="13.19921875" style="172" customWidth="1"/>
    <col min="7181" max="7181" width="11.796875" style="172" customWidth="1"/>
    <col min="7182" max="7182" width="9.69921875" style="172" customWidth="1"/>
    <col min="7183" max="7424" width="10.69921875" style="172"/>
    <col min="7425" max="7425" width="9" style="172" customWidth="1"/>
    <col min="7426" max="7426" width="6.296875" style="172" customWidth="1"/>
    <col min="7427" max="7427" width="33.5" style="172" bestFit="1" customWidth="1"/>
    <col min="7428" max="7428" width="45.5" style="172" bestFit="1" customWidth="1"/>
    <col min="7429" max="7429" width="8.796875" style="172" customWidth="1"/>
    <col min="7430" max="7430" width="47.19921875" style="172" customWidth="1"/>
    <col min="7431" max="7431" width="10.19921875" style="172" customWidth="1"/>
    <col min="7432" max="7432" width="41.796875" style="172" customWidth="1"/>
    <col min="7433" max="7433" width="11.19921875" style="172" customWidth="1"/>
    <col min="7434" max="7434" width="10.5" style="172" customWidth="1"/>
    <col min="7435" max="7435" width="16" style="172" bestFit="1" customWidth="1"/>
    <col min="7436" max="7436" width="13.19921875" style="172" customWidth="1"/>
    <col min="7437" max="7437" width="11.796875" style="172" customWidth="1"/>
    <col min="7438" max="7438" width="9.69921875" style="172" customWidth="1"/>
    <col min="7439" max="7680" width="10.69921875" style="172"/>
    <col min="7681" max="7681" width="9" style="172" customWidth="1"/>
    <col min="7682" max="7682" width="6.296875" style="172" customWidth="1"/>
    <col min="7683" max="7683" width="33.5" style="172" bestFit="1" customWidth="1"/>
    <col min="7684" max="7684" width="45.5" style="172" bestFit="1" customWidth="1"/>
    <col min="7685" max="7685" width="8.796875" style="172" customWidth="1"/>
    <col min="7686" max="7686" width="47.19921875" style="172" customWidth="1"/>
    <col min="7687" max="7687" width="10.19921875" style="172" customWidth="1"/>
    <col min="7688" max="7688" width="41.796875" style="172" customWidth="1"/>
    <col min="7689" max="7689" width="11.19921875" style="172" customWidth="1"/>
    <col min="7690" max="7690" width="10.5" style="172" customWidth="1"/>
    <col min="7691" max="7691" width="16" style="172" bestFit="1" customWidth="1"/>
    <col min="7692" max="7692" width="13.19921875" style="172" customWidth="1"/>
    <col min="7693" max="7693" width="11.796875" style="172" customWidth="1"/>
    <col min="7694" max="7694" width="9.69921875" style="172" customWidth="1"/>
    <col min="7695" max="7936" width="10.69921875" style="172"/>
    <col min="7937" max="7937" width="9" style="172" customWidth="1"/>
    <col min="7938" max="7938" width="6.296875" style="172" customWidth="1"/>
    <col min="7939" max="7939" width="33.5" style="172" bestFit="1" customWidth="1"/>
    <col min="7940" max="7940" width="45.5" style="172" bestFit="1" customWidth="1"/>
    <col min="7941" max="7941" width="8.796875" style="172" customWidth="1"/>
    <col min="7942" max="7942" width="47.19921875" style="172" customWidth="1"/>
    <col min="7943" max="7943" width="10.19921875" style="172" customWidth="1"/>
    <col min="7944" max="7944" width="41.796875" style="172" customWidth="1"/>
    <col min="7945" max="7945" width="11.19921875" style="172" customWidth="1"/>
    <col min="7946" max="7946" width="10.5" style="172" customWidth="1"/>
    <col min="7947" max="7947" width="16" style="172" bestFit="1" customWidth="1"/>
    <col min="7948" max="7948" width="13.19921875" style="172" customWidth="1"/>
    <col min="7949" max="7949" width="11.796875" style="172" customWidth="1"/>
    <col min="7950" max="7950" width="9.69921875" style="172" customWidth="1"/>
    <col min="7951" max="8192" width="10.69921875" style="172"/>
    <col min="8193" max="8193" width="9" style="172" customWidth="1"/>
    <col min="8194" max="8194" width="6.296875" style="172" customWidth="1"/>
    <col min="8195" max="8195" width="33.5" style="172" bestFit="1" customWidth="1"/>
    <col min="8196" max="8196" width="45.5" style="172" bestFit="1" customWidth="1"/>
    <col min="8197" max="8197" width="8.796875" style="172" customWidth="1"/>
    <col min="8198" max="8198" width="47.19921875" style="172" customWidth="1"/>
    <col min="8199" max="8199" width="10.19921875" style="172" customWidth="1"/>
    <col min="8200" max="8200" width="41.796875" style="172" customWidth="1"/>
    <col min="8201" max="8201" width="11.19921875" style="172" customWidth="1"/>
    <col min="8202" max="8202" width="10.5" style="172" customWidth="1"/>
    <col min="8203" max="8203" width="16" style="172" bestFit="1" customWidth="1"/>
    <col min="8204" max="8204" width="13.19921875" style="172" customWidth="1"/>
    <col min="8205" max="8205" width="11.796875" style="172" customWidth="1"/>
    <col min="8206" max="8206" width="9.69921875" style="172" customWidth="1"/>
    <col min="8207" max="8448" width="10.69921875" style="172"/>
    <col min="8449" max="8449" width="9" style="172" customWidth="1"/>
    <col min="8450" max="8450" width="6.296875" style="172" customWidth="1"/>
    <col min="8451" max="8451" width="33.5" style="172" bestFit="1" customWidth="1"/>
    <col min="8452" max="8452" width="45.5" style="172" bestFit="1" customWidth="1"/>
    <col min="8453" max="8453" width="8.796875" style="172" customWidth="1"/>
    <col min="8454" max="8454" width="47.19921875" style="172" customWidth="1"/>
    <col min="8455" max="8455" width="10.19921875" style="172" customWidth="1"/>
    <col min="8456" max="8456" width="41.796875" style="172" customWidth="1"/>
    <col min="8457" max="8457" width="11.19921875" style="172" customWidth="1"/>
    <col min="8458" max="8458" width="10.5" style="172" customWidth="1"/>
    <col min="8459" max="8459" width="16" style="172" bestFit="1" customWidth="1"/>
    <col min="8460" max="8460" width="13.19921875" style="172" customWidth="1"/>
    <col min="8461" max="8461" width="11.796875" style="172" customWidth="1"/>
    <col min="8462" max="8462" width="9.69921875" style="172" customWidth="1"/>
    <col min="8463" max="8704" width="10.69921875" style="172"/>
    <col min="8705" max="8705" width="9" style="172" customWidth="1"/>
    <col min="8706" max="8706" width="6.296875" style="172" customWidth="1"/>
    <col min="8707" max="8707" width="33.5" style="172" bestFit="1" customWidth="1"/>
    <col min="8708" max="8708" width="45.5" style="172" bestFit="1" customWidth="1"/>
    <col min="8709" max="8709" width="8.796875" style="172" customWidth="1"/>
    <col min="8710" max="8710" width="47.19921875" style="172" customWidth="1"/>
    <col min="8711" max="8711" width="10.19921875" style="172" customWidth="1"/>
    <col min="8712" max="8712" width="41.796875" style="172" customWidth="1"/>
    <col min="8713" max="8713" width="11.19921875" style="172" customWidth="1"/>
    <col min="8714" max="8714" width="10.5" style="172" customWidth="1"/>
    <col min="8715" max="8715" width="16" style="172" bestFit="1" customWidth="1"/>
    <col min="8716" max="8716" width="13.19921875" style="172" customWidth="1"/>
    <col min="8717" max="8717" width="11.796875" style="172" customWidth="1"/>
    <col min="8718" max="8718" width="9.69921875" style="172" customWidth="1"/>
    <col min="8719" max="8960" width="10.69921875" style="172"/>
    <col min="8961" max="8961" width="9" style="172" customWidth="1"/>
    <col min="8962" max="8962" width="6.296875" style="172" customWidth="1"/>
    <col min="8963" max="8963" width="33.5" style="172" bestFit="1" customWidth="1"/>
    <col min="8964" max="8964" width="45.5" style="172" bestFit="1" customWidth="1"/>
    <col min="8965" max="8965" width="8.796875" style="172" customWidth="1"/>
    <col min="8966" max="8966" width="47.19921875" style="172" customWidth="1"/>
    <col min="8967" max="8967" width="10.19921875" style="172" customWidth="1"/>
    <col min="8968" max="8968" width="41.796875" style="172" customWidth="1"/>
    <col min="8969" max="8969" width="11.19921875" style="172" customWidth="1"/>
    <col min="8970" max="8970" width="10.5" style="172" customWidth="1"/>
    <col min="8971" max="8971" width="16" style="172" bestFit="1" customWidth="1"/>
    <col min="8972" max="8972" width="13.19921875" style="172" customWidth="1"/>
    <col min="8973" max="8973" width="11.796875" style="172" customWidth="1"/>
    <col min="8974" max="8974" width="9.69921875" style="172" customWidth="1"/>
    <col min="8975" max="9216" width="10.69921875" style="172"/>
    <col min="9217" max="9217" width="9" style="172" customWidth="1"/>
    <col min="9218" max="9218" width="6.296875" style="172" customWidth="1"/>
    <col min="9219" max="9219" width="33.5" style="172" bestFit="1" customWidth="1"/>
    <col min="9220" max="9220" width="45.5" style="172" bestFit="1" customWidth="1"/>
    <col min="9221" max="9221" width="8.796875" style="172" customWidth="1"/>
    <col min="9222" max="9222" width="47.19921875" style="172" customWidth="1"/>
    <col min="9223" max="9223" width="10.19921875" style="172" customWidth="1"/>
    <col min="9224" max="9224" width="41.796875" style="172" customWidth="1"/>
    <col min="9225" max="9225" width="11.19921875" style="172" customWidth="1"/>
    <col min="9226" max="9226" width="10.5" style="172" customWidth="1"/>
    <col min="9227" max="9227" width="16" style="172" bestFit="1" customWidth="1"/>
    <col min="9228" max="9228" width="13.19921875" style="172" customWidth="1"/>
    <col min="9229" max="9229" width="11.796875" style="172" customWidth="1"/>
    <col min="9230" max="9230" width="9.69921875" style="172" customWidth="1"/>
    <col min="9231" max="9472" width="10.69921875" style="172"/>
    <col min="9473" max="9473" width="9" style="172" customWidth="1"/>
    <col min="9474" max="9474" width="6.296875" style="172" customWidth="1"/>
    <col min="9475" max="9475" width="33.5" style="172" bestFit="1" customWidth="1"/>
    <col min="9476" max="9476" width="45.5" style="172" bestFit="1" customWidth="1"/>
    <col min="9477" max="9477" width="8.796875" style="172" customWidth="1"/>
    <col min="9478" max="9478" width="47.19921875" style="172" customWidth="1"/>
    <col min="9479" max="9479" width="10.19921875" style="172" customWidth="1"/>
    <col min="9480" max="9480" width="41.796875" style="172" customWidth="1"/>
    <col min="9481" max="9481" width="11.19921875" style="172" customWidth="1"/>
    <col min="9482" max="9482" width="10.5" style="172" customWidth="1"/>
    <col min="9483" max="9483" width="16" style="172" bestFit="1" customWidth="1"/>
    <col min="9484" max="9484" width="13.19921875" style="172" customWidth="1"/>
    <col min="9485" max="9485" width="11.796875" style="172" customWidth="1"/>
    <col min="9486" max="9486" width="9.69921875" style="172" customWidth="1"/>
    <col min="9487" max="9728" width="10.69921875" style="172"/>
    <col min="9729" max="9729" width="9" style="172" customWidth="1"/>
    <col min="9730" max="9730" width="6.296875" style="172" customWidth="1"/>
    <col min="9731" max="9731" width="33.5" style="172" bestFit="1" customWidth="1"/>
    <col min="9732" max="9732" width="45.5" style="172" bestFit="1" customWidth="1"/>
    <col min="9733" max="9733" width="8.796875" style="172" customWidth="1"/>
    <col min="9734" max="9734" width="47.19921875" style="172" customWidth="1"/>
    <col min="9735" max="9735" width="10.19921875" style="172" customWidth="1"/>
    <col min="9736" max="9736" width="41.796875" style="172" customWidth="1"/>
    <col min="9737" max="9737" width="11.19921875" style="172" customWidth="1"/>
    <col min="9738" max="9738" width="10.5" style="172" customWidth="1"/>
    <col min="9739" max="9739" width="16" style="172" bestFit="1" customWidth="1"/>
    <col min="9740" max="9740" width="13.19921875" style="172" customWidth="1"/>
    <col min="9741" max="9741" width="11.796875" style="172" customWidth="1"/>
    <col min="9742" max="9742" width="9.69921875" style="172" customWidth="1"/>
    <col min="9743" max="9984" width="10.69921875" style="172"/>
    <col min="9985" max="9985" width="9" style="172" customWidth="1"/>
    <col min="9986" max="9986" width="6.296875" style="172" customWidth="1"/>
    <col min="9987" max="9987" width="33.5" style="172" bestFit="1" customWidth="1"/>
    <col min="9988" max="9988" width="45.5" style="172" bestFit="1" customWidth="1"/>
    <col min="9989" max="9989" width="8.796875" style="172" customWidth="1"/>
    <col min="9990" max="9990" width="47.19921875" style="172" customWidth="1"/>
    <col min="9991" max="9991" width="10.19921875" style="172" customWidth="1"/>
    <col min="9992" max="9992" width="41.796875" style="172" customWidth="1"/>
    <col min="9993" max="9993" width="11.19921875" style="172" customWidth="1"/>
    <col min="9994" max="9994" width="10.5" style="172" customWidth="1"/>
    <col min="9995" max="9995" width="16" style="172" bestFit="1" customWidth="1"/>
    <col min="9996" max="9996" width="13.19921875" style="172" customWidth="1"/>
    <col min="9997" max="9997" width="11.796875" style="172" customWidth="1"/>
    <col min="9998" max="9998" width="9.69921875" style="172" customWidth="1"/>
    <col min="9999" max="10240" width="10.69921875" style="172"/>
    <col min="10241" max="10241" width="9" style="172" customWidth="1"/>
    <col min="10242" max="10242" width="6.296875" style="172" customWidth="1"/>
    <col min="10243" max="10243" width="33.5" style="172" bestFit="1" customWidth="1"/>
    <col min="10244" max="10244" width="45.5" style="172" bestFit="1" customWidth="1"/>
    <col min="10245" max="10245" width="8.796875" style="172" customWidth="1"/>
    <col min="10246" max="10246" width="47.19921875" style="172" customWidth="1"/>
    <col min="10247" max="10247" width="10.19921875" style="172" customWidth="1"/>
    <col min="10248" max="10248" width="41.796875" style="172" customWidth="1"/>
    <col min="10249" max="10249" width="11.19921875" style="172" customWidth="1"/>
    <col min="10250" max="10250" width="10.5" style="172" customWidth="1"/>
    <col min="10251" max="10251" width="16" style="172" bestFit="1" customWidth="1"/>
    <col min="10252" max="10252" width="13.19921875" style="172" customWidth="1"/>
    <col min="10253" max="10253" width="11.796875" style="172" customWidth="1"/>
    <col min="10254" max="10254" width="9.69921875" style="172" customWidth="1"/>
    <col min="10255" max="10496" width="10.69921875" style="172"/>
    <col min="10497" max="10497" width="9" style="172" customWidth="1"/>
    <col min="10498" max="10498" width="6.296875" style="172" customWidth="1"/>
    <col min="10499" max="10499" width="33.5" style="172" bestFit="1" customWidth="1"/>
    <col min="10500" max="10500" width="45.5" style="172" bestFit="1" customWidth="1"/>
    <col min="10501" max="10501" width="8.796875" style="172" customWidth="1"/>
    <col min="10502" max="10502" width="47.19921875" style="172" customWidth="1"/>
    <col min="10503" max="10503" width="10.19921875" style="172" customWidth="1"/>
    <col min="10504" max="10504" width="41.796875" style="172" customWidth="1"/>
    <col min="10505" max="10505" width="11.19921875" style="172" customWidth="1"/>
    <col min="10506" max="10506" width="10.5" style="172" customWidth="1"/>
    <col min="10507" max="10507" width="16" style="172" bestFit="1" customWidth="1"/>
    <col min="10508" max="10508" width="13.19921875" style="172" customWidth="1"/>
    <col min="10509" max="10509" width="11.796875" style="172" customWidth="1"/>
    <col min="10510" max="10510" width="9.69921875" style="172" customWidth="1"/>
    <col min="10511" max="10752" width="10.69921875" style="172"/>
    <col min="10753" max="10753" width="9" style="172" customWidth="1"/>
    <col min="10754" max="10754" width="6.296875" style="172" customWidth="1"/>
    <col min="10755" max="10755" width="33.5" style="172" bestFit="1" customWidth="1"/>
    <col min="10756" max="10756" width="45.5" style="172" bestFit="1" customWidth="1"/>
    <col min="10757" max="10757" width="8.796875" style="172" customWidth="1"/>
    <col min="10758" max="10758" width="47.19921875" style="172" customWidth="1"/>
    <col min="10759" max="10759" width="10.19921875" style="172" customWidth="1"/>
    <col min="10760" max="10760" width="41.796875" style="172" customWidth="1"/>
    <col min="10761" max="10761" width="11.19921875" style="172" customWidth="1"/>
    <col min="10762" max="10762" width="10.5" style="172" customWidth="1"/>
    <col min="10763" max="10763" width="16" style="172" bestFit="1" customWidth="1"/>
    <col min="10764" max="10764" width="13.19921875" style="172" customWidth="1"/>
    <col min="10765" max="10765" width="11.796875" style="172" customWidth="1"/>
    <col min="10766" max="10766" width="9.69921875" style="172" customWidth="1"/>
    <col min="10767" max="11008" width="10.69921875" style="172"/>
    <col min="11009" max="11009" width="9" style="172" customWidth="1"/>
    <col min="11010" max="11010" width="6.296875" style="172" customWidth="1"/>
    <col min="11011" max="11011" width="33.5" style="172" bestFit="1" customWidth="1"/>
    <col min="11012" max="11012" width="45.5" style="172" bestFit="1" customWidth="1"/>
    <col min="11013" max="11013" width="8.796875" style="172" customWidth="1"/>
    <col min="11014" max="11014" width="47.19921875" style="172" customWidth="1"/>
    <col min="11015" max="11015" width="10.19921875" style="172" customWidth="1"/>
    <col min="11016" max="11016" width="41.796875" style="172" customWidth="1"/>
    <col min="11017" max="11017" width="11.19921875" style="172" customWidth="1"/>
    <col min="11018" max="11018" width="10.5" style="172" customWidth="1"/>
    <col min="11019" max="11019" width="16" style="172" bestFit="1" customWidth="1"/>
    <col min="11020" max="11020" width="13.19921875" style="172" customWidth="1"/>
    <col min="11021" max="11021" width="11.796875" style="172" customWidth="1"/>
    <col min="11022" max="11022" width="9.69921875" style="172" customWidth="1"/>
    <col min="11023" max="11264" width="10.69921875" style="172"/>
    <col min="11265" max="11265" width="9" style="172" customWidth="1"/>
    <col min="11266" max="11266" width="6.296875" style="172" customWidth="1"/>
    <col min="11267" max="11267" width="33.5" style="172" bestFit="1" customWidth="1"/>
    <col min="11268" max="11268" width="45.5" style="172" bestFit="1" customWidth="1"/>
    <col min="11269" max="11269" width="8.796875" style="172" customWidth="1"/>
    <col min="11270" max="11270" width="47.19921875" style="172" customWidth="1"/>
    <col min="11271" max="11271" width="10.19921875" style="172" customWidth="1"/>
    <col min="11272" max="11272" width="41.796875" style="172" customWidth="1"/>
    <col min="11273" max="11273" width="11.19921875" style="172" customWidth="1"/>
    <col min="11274" max="11274" width="10.5" style="172" customWidth="1"/>
    <col min="11275" max="11275" width="16" style="172" bestFit="1" customWidth="1"/>
    <col min="11276" max="11276" width="13.19921875" style="172" customWidth="1"/>
    <col min="11277" max="11277" width="11.796875" style="172" customWidth="1"/>
    <col min="11278" max="11278" width="9.69921875" style="172" customWidth="1"/>
    <col min="11279" max="11520" width="10.69921875" style="172"/>
    <col min="11521" max="11521" width="9" style="172" customWidth="1"/>
    <col min="11522" max="11522" width="6.296875" style="172" customWidth="1"/>
    <col min="11523" max="11523" width="33.5" style="172" bestFit="1" customWidth="1"/>
    <col min="11524" max="11524" width="45.5" style="172" bestFit="1" customWidth="1"/>
    <col min="11525" max="11525" width="8.796875" style="172" customWidth="1"/>
    <col min="11526" max="11526" width="47.19921875" style="172" customWidth="1"/>
    <col min="11527" max="11527" width="10.19921875" style="172" customWidth="1"/>
    <col min="11528" max="11528" width="41.796875" style="172" customWidth="1"/>
    <col min="11529" max="11529" width="11.19921875" style="172" customWidth="1"/>
    <col min="11530" max="11530" width="10.5" style="172" customWidth="1"/>
    <col min="11531" max="11531" width="16" style="172" bestFit="1" customWidth="1"/>
    <col min="11532" max="11532" width="13.19921875" style="172" customWidth="1"/>
    <col min="11533" max="11533" width="11.796875" style="172" customWidth="1"/>
    <col min="11534" max="11534" width="9.69921875" style="172" customWidth="1"/>
    <col min="11535" max="11776" width="10.69921875" style="172"/>
    <col min="11777" max="11777" width="9" style="172" customWidth="1"/>
    <col min="11778" max="11778" width="6.296875" style="172" customWidth="1"/>
    <col min="11779" max="11779" width="33.5" style="172" bestFit="1" customWidth="1"/>
    <col min="11780" max="11780" width="45.5" style="172" bestFit="1" customWidth="1"/>
    <col min="11781" max="11781" width="8.796875" style="172" customWidth="1"/>
    <col min="11782" max="11782" width="47.19921875" style="172" customWidth="1"/>
    <col min="11783" max="11783" width="10.19921875" style="172" customWidth="1"/>
    <col min="11784" max="11784" width="41.796875" style="172" customWidth="1"/>
    <col min="11785" max="11785" width="11.19921875" style="172" customWidth="1"/>
    <col min="11786" max="11786" width="10.5" style="172" customWidth="1"/>
    <col min="11787" max="11787" width="16" style="172" bestFit="1" customWidth="1"/>
    <col min="11788" max="11788" width="13.19921875" style="172" customWidth="1"/>
    <col min="11789" max="11789" width="11.796875" style="172" customWidth="1"/>
    <col min="11790" max="11790" width="9.69921875" style="172" customWidth="1"/>
    <col min="11791" max="12032" width="10.69921875" style="172"/>
    <col min="12033" max="12033" width="9" style="172" customWidth="1"/>
    <col min="12034" max="12034" width="6.296875" style="172" customWidth="1"/>
    <col min="12035" max="12035" width="33.5" style="172" bestFit="1" customWidth="1"/>
    <col min="12036" max="12036" width="45.5" style="172" bestFit="1" customWidth="1"/>
    <col min="12037" max="12037" width="8.796875" style="172" customWidth="1"/>
    <col min="12038" max="12038" width="47.19921875" style="172" customWidth="1"/>
    <col min="12039" max="12039" width="10.19921875" style="172" customWidth="1"/>
    <col min="12040" max="12040" width="41.796875" style="172" customWidth="1"/>
    <col min="12041" max="12041" width="11.19921875" style="172" customWidth="1"/>
    <col min="12042" max="12042" width="10.5" style="172" customWidth="1"/>
    <col min="12043" max="12043" width="16" style="172" bestFit="1" customWidth="1"/>
    <col min="12044" max="12044" width="13.19921875" style="172" customWidth="1"/>
    <col min="12045" max="12045" width="11.796875" style="172" customWidth="1"/>
    <col min="12046" max="12046" width="9.69921875" style="172" customWidth="1"/>
    <col min="12047" max="12288" width="10.69921875" style="172"/>
    <col min="12289" max="12289" width="9" style="172" customWidth="1"/>
    <col min="12290" max="12290" width="6.296875" style="172" customWidth="1"/>
    <col min="12291" max="12291" width="33.5" style="172" bestFit="1" customWidth="1"/>
    <col min="12292" max="12292" width="45.5" style="172" bestFit="1" customWidth="1"/>
    <col min="12293" max="12293" width="8.796875" style="172" customWidth="1"/>
    <col min="12294" max="12294" width="47.19921875" style="172" customWidth="1"/>
    <col min="12295" max="12295" width="10.19921875" style="172" customWidth="1"/>
    <col min="12296" max="12296" width="41.796875" style="172" customWidth="1"/>
    <col min="12297" max="12297" width="11.19921875" style="172" customWidth="1"/>
    <col min="12298" max="12298" width="10.5" style="172" customWidth="1"/>
    <col min="12299" max="12299" width="16" style="172" bestFit="1" customWidth="1"/>
    <col min="12300" max="12300" width="13.19921875" style="172" customWidth="1"/>
    <col min="12301" max="12301" width="11.796875" style="172" customWidth="1"/>
    <col min="12302" max="12302" width="9.69921875" style="172" customWidth="1"/>
    <col min="12303" max="12544" width="10.69921875" style="172"/>
    <col min="12545" max="12545" width="9" style="172" customWidth="1"/>
    <col min="12546" max="12546" width="6.296875" style="172" customWidth="1"/>
    <col min="12547" max="12547" width="33.5" style="172" bestFit="1" customWidth="1"/>
    <col min="12548" max="12548" width="45.5" style="172" bestFit="1" customWidth="1"/>
    <col min="12549" max="12549" width="8.796875" style="172" customWidth="1"/>
    <col min="12550" max="12550" width="47.19921875" style="172" customWidth="1"/>
    <col min="12551" max="12551" width="10.19921875" style="172" customWidth="1"/>
    <col min="12552" max="12552" width="41.796875" style="172" customWidth="1"/>
    <col min="12553" max="12553" width="11.19921875" style="172" customWidth="1"/>
    <col min="12554" max="12554" width="10.5" style="172" customWidth="1"/>
    <col min="12555" max="12555" width="16" style="172" bestFit="1" customWidth="1"/>
    <col min="12556" max="12556" width="13.19921875" style="172" customWidth="1"/>
    <col min="12557" max="12557" width="11.796875" style="172" customWidth="1"/>
    <col min="12558" max="12558" width="9.69921875" style="172" customWidth="1"/>
    <col min="12559" max="12800" width="10.69921875" style="172"/>
    <col min="12801" max="12801" width="9" style="172" customWidth="1"/>
    <col min="12802" max="12802" width="6.296875" style="172" customWidth="1"/>
    <col min="12803" max="12803" width="33.5" style="172" bestFit="1" customWidth="1"/>
    <col min="12804" max="12804" width="45.5" style="172" bestFit="1" customWidth="1"/>
    <col min="12805" max="12805" width="8.796875" style="172" customWidth="1"/>
    <col min="12806" max="12806" width="47.19921875" style="172" customWidth="1"/>
    <col min="12807" max="12807" width="10.19921875" style="172" customWidth="1"/>
    <col min="12808" max="12808" width="41.796875" style="172" customWidth="1"/>
    <col min="12809" max="12809" width="11.19921875" style="172" customWidth="1"/>
    <col min="12810" max="12810" width="10.5" style="172" customWidth="1"/>
    <col min="12811" max="12811" width="16" style="172" bestFit="1" customWidth="1"/>
    <col min="12812" max="12812" width="13.19921875" style="172" customWidth="1"/>
    <col min="12813" max="12813" width="11.796875" style="172" customWidth="1"/>
    <col min="12814" max="12814" width="9.69921875" style="172" customWidth="1"/>
    <col min="12815" max="13056" width="10.69921875" style="172"/>
    <col min="13057" max="13057" width="9" style="172" customWidth="1"/>
    <col min="13058" max="13058" width="6.296875" style="172" customWidth="1"/>
    <col min="13059" max="13059" width="33.5" style="172" bestFit="1" customWidth="1"/>
    <col min="13060" max="13060" width="45.5" style="172" bestFit="1" customWidth="1"/>
    <col min="13061" max="13061" width="8.796875" style="172" customWidth="1"/>
    <col min="13062" max="13062" width="47.19921875" style="172" customWidth="1"/>
    <col min="13063" max="13063" width="10.19921875" style="172" customWidth="1"/>
    <col min="13064" max="13064" width="41.796875" style="172" customWidth="1"/>
    <col min="13065" max="13065" width="11.19921875" style="172" customWidth="1"/>
    <col min="13066" max="13066" width="10.5" style="172" customWidth="1"/>
    <col min="13067" max="13067" width="16" style="172" bestFit="1" customWidth="1"/>
    <col min="13068" max="13068" width="13.19921875" style="172" customWidth="1"/>
    <col min="13069" max="13069" width="11.796875" style="172" customWidth="1"/>
    <col min="13070" max="13070" width="9.69921875" style="172" customWidth="1"/>
    <col min="13071" max="13312" width="10.69921875" style="172"/>
    <col min="13313" max="13313" width="9" style="172" customWidth="1"/>
    <col min="13314" max="13314" width="6.296875" style="172" customWidth="1"/>
    <col min="13315" max="13315" width="33.5" style="172" bestFit="1" customWidth="1"/>
    <col min="13316" max="13316" width="45.5" style="172" bestFit="1" customWidth="1"/>
    <col min="13317" max="13317" width="8.796875" style="172" customWidth="1"/>
    <col min="13318" max="13318" width="47.19921875" style="172" customWidth="1"/>
    <col min="13319" max="13319" width="10.19921875" style="172" customWidth="1"/>
    <col min="13320" max="13320" width="41.796875" style="172" customWidth="1"/>
    <col min="13321" max="13321" width="11.19921875" style="172" customWidth="1"/>
    <col min="13322" max="13322" width="10.5" style="172" customWidth="1"/>
    <col min="13323" max="13323" width="16" style="172" bestFit="1" customWidth="1"/>
    <col min="13324" max="13324" width="13.19921875" style="172" customWidth="1"/>
    <col min="13325" max="13325" width="11.796875" style="172" customWidth="1"/>
    <col min="13326" max="13326" width="9.69921875" style="172" customWidth="1"/>
    <col min="13327" max="13568" width="10.69921875" style="172"/>
    <col min="13569" max="13569" width="9" style="172" customWidth="1"/>
    <col min="13570" max="13570" width="6.296875" style="172" customWidth="1"/>
    <col min="13571" max="13571" width="33.5" style="172" bestFit="1" customWidth="1"/>
    <col min="13572" max="13572" width="45.5" style="172" bestFit="1" customWidth="1"/>
    <col min="13573" max="13573" width="8.796875" style="172" customWidth="1"/>
    <col min="13574" max="13574" width="47.19921875" style="172" customWidth="1"/>
    <col min="13575" max="13575" width="10.19921875" style="172" customWidth="1"/>
    <col min="13576" max="13576" width="41.796875" style="172" customWidth="1"/>
    <col min="13577" max="13577" width="11.19921875" style="172" customWidth="1"/>
    <col min="13578" max="13578" width="10.5" style="172" customWidth="1"/>
    <col min="13579" max="13579" width="16" style="172" bestFit="1" customWidth="1"/>
    <col min="13580" max="13580" width="13.19921875" style="172" customWidth="1"/>
    <col min="13581" max="13581" width="11.796875" style="172" customWidth="1"/>
    <col min="13582" max="13582" width="9.69921875" style="172" customWidth="1"/>
    <col min="13583" max="13824" width="10.69921875" style="172"/>
    <col min="13825" max="13825" width="9" style="172" customWidth="1"/>
    <col min="13826" max="13826" width="6.296875" style="172" customWidth="1"/>
    <col min="13827" max="13827" width="33.5" style="172" bestFit="1" customWidth="1"/>
    <col min="13828" max="13828" width="45.5" style="172" bestFit="1" customWidth="1"/>
    <col min="13829" max="13829" width="8.796875" style="172" customWidth="1"/>
    <col min="13830" max="13830" width="47.19921875" style="172" customWidth="1"/>
    <col min="13831" max="13831" width="10.19921875" style="172" customWidth="1"/>
    <col min="13832" max="13832" width="41.796875" style="172" customWidth="1"/>
    <col min="13833" max="13833" width="11.19921875" style="172" customWidth="1"/>
    <col min="13834" max="13834" width="10.5" style="172" customWidth="1"/>
    <col min="13835" max="13835" width="16" style="172" bestFit="1" customWidth="1"/>
    <col min="13836" max="13836" width="13.19921875" style="172" customWidth="1"/>
    <col min="13837" max="13837" width="11.796875" style="172" customWidth="1"/>
    <col min="13838" max="13838" width="9.69921875" style="172" customWidth="1"/>
    <col min="13839" max="14080" width="10.69921875" style="172"/>
    <col min="14081" max="14081" width="9" style="172" customWidth="1"/>
    <col min="14082" max="14082" width="6.296875" style="172" customWidth="1"/>
    <col min="14083" max="14083" width="33.5" style="172" bestFit="1" customWidth="1"/>
    <col min="14084" max="14084" width="45.5" style="172" bestFit="1" customWidth="1"/>
    <col min="14085" max="14085" width="8.796875" style="172" customWidth="1"/>
    <col min="14086" max="14086" width="47.19921875" style="172" customWidth="1"/>
    <col min="14087" max="14087" width="10.19921875" style="172" customWidth="1"/>
    <col min="14088" max="14088" width="41.796875" style="172" customWidth="1"/>
    <col min="14089" max="14089" width="11.19921875" style="172" customWidth="1"/>
    <col min="14090" max="14090" width="10.5" style="172" customWidth="1"/>
    <col min="14091" max="14091" width="16" style="172" bestFit="1" customWidth="1"/>
    <col min="14092" max="14092" width="13.19921875" style="172" customWidth="1"/>
    <col min="14093" max="14093" width="11.796875" style="172" customWidth="1"/>
    <col min="14094" max="14094" width="9.69921875" style="172" customWidth="1"/>
    <col min="14095" max="14336" width="10.69921875" style="172"/>
    <col min="14337" max="14337" width="9" style="172" customWidth="1"/>
    <col min="14338" max="14338" width="6.296875" style="172" customWidth="1"/>
    <col min="14339" max="14339" width="33.5" style="172" bestFit="1" customWidth="1"/>
    <col min="14340" max="14340" width="45.5" style="172" bestFit="1" customWidth="1"/>
    <col min="14341" max="14341" width="8.796875" style="172" customWidth="1"/>
    <col min="14342" max="14342" width="47.19921875" style="172" customWidth="1"/>
    <col min="14343" max="14343" width="10.19921875" style="172" customWidth="1"/>
    <col min="14344" max="14344" width="41.796875" style="172" customWidth="1"/>
    <col min="14345" max="14345" width="11.19921875" style="172" customWidth="1"/>
    <col min="14346" max="14346" width="10.5" style="172" customWidth="1"/>
    <col min="14347" max="14347" width="16" style="172" bestFit="1" customWidth="1"/>
    <col min="14348" max="14348" width="13.19921875" style="172" customWidth="1"/>
    <col min="14349" max="14349" width="11.796875" style="172" customWidth="1"/>
    <col min="14350" max="14350" width="9.69921875" style="172" customWidth="1"/>
    <col min="14351" max="14592" width="10.69921875" style="172"/>
    <col min="14593" max="14593" width="9" style="172" customWidth="1"/>
    <col min="14594" max="14594" width="6.296875" style="172" customWidth="1"/>
    <col min="14595" max="14595" width="33.5" style="172" bestFit="1" customWidth="1"/>
    <col min="14596" max="14596" width="45.5" style="172" bestFit="1" customWidth="1"/>
    <col min="14597" max="14597" width="8.796875" style="172" customWidth="1"/>
    <col min="14598" max="14598" width="47.19921875" style="172" customWidth="1"/>
    <col min="14599" max="14599" width="10.19921875" style="172" customWidth="1"/>
    <col min="14600" max="14600" width="41.796875" style="172" customWidth="1"/>
    <col min="14601" max="14601" width="11.19921875" style="172" customWidth="1"/>
    <col min="14602" max="14602" width="10.5" style="172" customWidth="1"/>
    <col min="14603" max="14603" width="16" style="172" bestFit="1" customWidth="1"/>
    <col min="14604" max="14604" width="13.19921875" style="172" customWidth="1"/>
    <col min="14605" max="14605" width="11.796875" style="172" customWidth="1"/>
    <col min="14606" max="14606" width="9.69921875" style="172" customWidth="1"/>
    <col min="14607" max="14848" width="10.69921875" style="172"/>
    <col min="14849" max="14849" width="9" style="172" customWidth="1"/>
    <col min="14850" max="14850" width="6.296875" style="172" customWidth="1"/>
    <col min="14851" max="14851" width="33.5" style="172" bestFit="1" customWidth="1"/>
    <col min="14852" max="14852" width="45.5" style="172" bestFit="1" customWidth="1"/>
    <col min="14853" max="14853" width="8.796875" style="172" customWidth="1"/>
    <col min="14854" max="14854" width="47.19921875" style="172" customWidth="1"/>
    <col min="14855" max="14855" width="10.19921875" style="172" customWidth="1"/>
    <col min="14856" max="14856" width="41.796875" style="172" customWidth="1"/>
    <col min="14857" max="14857" width="11.19921875" style="172" customWidth="1"/>
    <col min="14858" max="14858" width="10.5" style="172" customWidth="1"/>
    <col min="14859" max="14859" width="16" style="172" bestFit="1" customWidth="1"/>
    <col min="14860" max="14860" width="13.19921875" style="172" customWidth="1"/>
    <col min="14861" max="14861" width="11.796875" style="172" customWidth="1"/>
    <col min="14862" max="14862" width="9.69921875" style="172" customWidth="1"/>
    <col min="14863" max="15104" width="10.69921875" style="172"/>
    <col min="15105" max="15105" width="9" style="172" customWidth="1"/>
    <col min="15106" max="15106" width="6.296875" style="172" customWidth="1"/>
    <col min="15107" max="15107" width="33.5" style="172" bestFit="1" customWidth="1"/>
    <col min="15108" max="15108" width="45.5" style="172" bestFit="1" customWidth="1"/>
    <col min="15109" max="15109" width="8.796875" style="172" customWidth="1"/>
    <col min="15110" max="15110" width="47.19921875" style="172" customWidth="1"/>
    <col min="15111" max="15111" width="10.19921875" style="172" customWidth="1"/>
    <col min="15112" max="15112" width="41.796875" style="172" customWidth="1"/>
    <col min="15113" max="15113" width="11.19921875" style="172" customWidth="1"/>
    <col min="15114" max="15114" width="10.5" style="172" customWidth="1"/>
    <col min="15115" max="15115" width="16" style="172" bestFit="1" customWidth="1"/>
    <col min="15116" max="15116" width="13.19921875" style="172" customWidth="1"/>
    <col min="15117" max="15117" width="11.796875" style="172" customWidth="1"/>
    <col min="15118" max="15118" width="9.69921875" style="172" customWidth="1"/>
    <col min="15119" max="15360" width="10.69921875" style="172"/>
    <col min="15361" max="15361" width="9" style="172" customWidth="1"/>
    <col min="15362" max="15362" width="6.296875" style="172" customWidth="1"/>
    <col min="15363" max="15363" width="33.5" style="172" bestFit="1" customWidth="1"/>
    <col min="15364" max="15364" width="45.5" style="172" bestFit="1" customWidth="1"/>
    <col min="15365" max="15365" width="8.796875" style="172" customWidth="1"/>
    <col min="15366" max="15366" width="47.19921875" style="172" customWidth="1"/>
    <col min="15367" max="15367" width="10.19921875" style="172" customWidth="1"/>
    <col min="15368" max="15368" width="41.796875" style="172" customWidth="1"/>
    <col min="15369" max="15369" width="11.19921875" style="172" customWidth="1"/>
    <col min="15370" max="15370" width="10.5" style="172" customWidth="1"/>
    <col min="15371" max="15371" width="16" style="172" bestFit="1" customWidth="1"/>
    <col min="15372" max="15372" width="13.19921875" style="172" customWidth="1"/>
    <col min="15373" max="15373" width="11.796875" style="172" customWidth="1"/>
    <col min="15374" max="15374" width="9.69921875" style="172" customWidth="1"/>
    <col min="15375" max="15616" width="10.69921875" style="172"/>
    <col min="15617" max="15617" width="9" style="172" customWidth="1"/>
    <col min="15618" max="15618" width="6.296875" style="172" customWidth="1"/>
    <col min="15619" max="15619" width="33.5" style="172" bestFit="1" customWidth="1"/>
    <col min="15620" max="15620" width="45.5" style="172" bestFit="1" customWidth="1"/>
    <col min="15621" max="15621" width="8.796875" style="172" customWidth="1"/>
    <col min="15622" max="15622" width="47.19921875" style="172" customWidth="1"/>
    <col min="15623" max="15623" width="10.19921875" style="172" customWidth="1"/>
    <col min="15624" max="15624" width="41.796875" style="172" customWidth="1"/>
    <col min="15625" max="15625" width="11.19921875" style="172" customWidth="1"/>
    <col min="15626" max="15626" width="10.5" style="172" customWidth="1"/>
    <col min="15627" max="15627" width="16" style="172" bestFit="1" customWidth="1"/>
    <col min="15628" max="15628" width="13.19921875" style="172" customWidth="1"/>
    <col min="15629" max="15629" width="11.796875" style="172" customWidth="1"/>
    <col min="15630" max="15630" width="9.69921875" style="172" customWidth="1"/>
    <col min="15631" max="15872" width="10.69921875" style="172"/>
    <col min="15873" max="15873" width="9" style="172" customWidth="1"/>
    <col min="15874" max="15874" width="6.296875" style="172" customWidth="1"/>
    <col min="15875" max="15875" width="33.5" style="172" bestFit="1" customWidth="1"/>
    <col min="15876" max="15876" width="45.5" style="172" bestFit="1" customWidth="1"/>
    <col min="15877" max="15877" width="8.796875" style="172" customWidth="1"/>
    <col min="15878" max="15878" width="47.19921875" style="172" customWidth="1"/>
    <col min="15879" max="15879" width="10.19921875" style="172" customWidth="1"/>
    <col min="15880" max="15880" width="41.796875" style="172" customWidth="1"/>
    <col min="15881" max="15881" width="11.19921875" style="172" customWidth="1"/>
    <col min="15882" max="15882" width="10.5" style="172" customWidth="1"/>
    <col min="15883" max="15883" width="16" style="172" bestFit="1" customWidth="1"/>
    <col min="15884" max="15884" width="13.19921875" style="172" customWidth="1"/>
    <col min="15885" max="15885" width="11.796875" style="172" customWidth="1"/>
    <col min="15886" max="15886" width="9.69921875" style="172" customWidth="1"/>
    <col min="15887" max="16128" width="10.69921875" style="172"/>
    <col min="16129" max="16129" width="9" style="172" customWidth="1"/>
    <col min="16130" max="16130" width="6.296875" style="172" customWidth="1"/>
    <col min="16131" max="16131" width="33.5" style="172" bestFit="1" customWidth="1"/>
    <col min="16132" max="16132" width="45.5" style="172" bestFit="1" customWidth="1"/>
    <col min="16133" max="16133" width="8.796875" style="172" customWidth="1"/>
    <col min="16134" max="16134" width="47.19921875" style="172" customWidth="1"/>
    <col min="16135" max="16135" width="10.19921875" style="172" customWidth="1"/>
    <col min="16136" max="16136" width="41.796875" style="172" customWidth="1"/>
    <col min="16137" max="16137" width="11.19921875" style="172" customWidth="1"/>
    <col min="16138" max="16138" width="10.5" style="172" customWidth="1"/>
    <col min="16139" max="16139" width="16" style="172" bestFit="1" customWidth="1"/>
    <col min="16140" max="16140" width="13.19921875" style="172" customWidth="1"/>
    <col min="16141" max="16141" width="11.796875" style="172" customWidth="1"/>
    <col min="16142" max="16142" width="9.69921875" style="172" customWidth="1"/>
    <col min="16143" max="16384" width="10.69921875" style="172"/>
  </cols>
  <sheetData>
    <row r="1" spans="1:27" ht="14.25" customHeight="1" x14ac:dyDescent="0.35">
      <c r="A1" s="171"/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200"/>
      <c r="U1" s="200"/>
      <c r="V1" s="200"/>
      <c r="W1" s="200"/>
      <c r="X1" s="200"/>
    </row>
    <row r="2" spans="1:27" ht="14.25" customHeight="1" x14ac:dyDescent="0.35">
      <c r="A2" s="173" t="s">
        <v>665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201"/>
      <c r="U2" s="201"/>
      <c r="V2" s="201"/>
      <c r="W2" s="201"/>
      <c r="X2" s="201"/>
    </row>
    <row r="3" spans="1:27" ht="14.25" customHeight="1" x14ac:dyDescent="0.35">
      <c r="A3" s="171"/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200"/>
      <c r="U3" s="200"/>
      <c r="V3" s="200"/>
      <c r="W3" s="200"/>
      <c r="X3" s="200"/>
    </row>
    <row r="4" spans="1:27" ht="15.5" x14ac:dyDescent="0.35">
      <c r="A4" s="174" t="s">
        <v>43</v>
      </c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5"/>
      <c r="M4" s="175"/>
      <c r="N4" s="174" t="s">
        <v>1</v>
      </c>
      <c r="P4" s="199"/>
      <c r="Q4" s="199"/>
      <c r="R4" s="199"/>
      <c r="S4" s="202" t="s">
        <v>166</v>
      </c>
      <c r="U4" s="199"/>
      <c r="V4" s="199"/>
      <c r="W4" s="199"/>
      <c r="X4" s="199"/>
    </row>
    <row r="5" spans="1:27" x14ac:dyDescent="0.35">
      <c r="A5" s="176" t="s">
        <v>190</v>
      </c>
      <c r="B5" s="176" t="s">
        <v>191</v>
      </c>
      <c r="C5" s="176" t="s">
        <v>192</v>
      </c>
      <c r="D5" s="176" t="s">
        <v>193</v>
      </c>
      <c r="E5" s="176" t="s">
        <v>194</v>
      </c>
      <c r="F5" s="176" t="s">
        <v>227</v>
      </c>
      <c r="G5" s="176" t="s">
        <v>196</v>
      </c>
      <c r="H5" s="176" t="s">
        <v>197</v>
      </c>
      <c r="I5" s="176" t="s">
        <v>198</v>
      </c>
      <c r="J5" s="176" t="s">
        <v>2</v>
      </c>
      <c r="K5" s="177" t="s">
        <v>199</v>
      </c>
      <c r="L5" s="178" t="s">
        <v>214</v>
      </c>
      <c r="M5" s="178" t="s">
        <v>217</v>
      </c>
      <c r="N5" s="178" t="s">
        <v>254</v>
      </c>
      <c r="O5" s="178" t="s">
        <v>218</v>
      </c>
      <c r="P5" s="178" t="s">
        <v>219</v>
      </c>
      <c r="Q5" s="198" t="s">
        <v>228</v>
      </c>
      <c r="R5" s="198" t="s">
        <v>229</v>
      </c>
      <c r="S5" s="198" t="s">
        <v>255</v>
      </c>
      <c r="T5" s="198" t="s">
        <v>230</v>
      </c>
      <c r="U5" s="198" t="s">
        <v>231</v>
      </c>
      <c r="W5" s="172" t="s">
        <v>354</v>
      </c>
    </row>
    <row r="6" spans="1:27" x14ac:dyDescent="0.35">
      <c r="A6" s="176">
        <v>1</v>
      </c>
      <c r="B6" s="176">
        <v>5</v>
      </c>
      <c r="C6" s="463" t="s">
        <v>171</v>
      </c>
      <c r="D6" s="179" t="s">
        <v>695</v>
      </c>
      <c r="E6" s="179" t="s">
        <v>168</v>
      </c>
      <c r="F6" s="179" t="s">
        <v>696</v>
      </c>
      <c r="G6" s="179" t="s">
        <v>168</v>
      </c>
      <c r="H6" s="179" t="s">
        <v>697</v>
      </c>
      <c r="I6" s="180" t="s">
        <v>200</v>
      </c>
      <c r="J6" s="180">
        <v>1</v>
      </c>
      <c r="K6" s="181"/>
      <c r="L6" s="183">
        <f>IF(AND(E6="M",Tabla156[[#This Row],[POS]]&lt;&gt;"AB",Tabla156[[#This Row],[POS]]&lt;&gt;"DSQ"),COUNTIF($E$6:E6,"M"),"")</f>
        <v>1</v>
      </c>
      <c r="M6" s="183">
        <f>IF(E6="M",IF(Tabla156[[#This Row],[Tiempo]]="AB","",LOOKUP(Tabla156[[#This Row],[CLAS SCRATCH]],'Datos puntos'!$A$2:$A$23,'Datos puntos'!$B$2:$B$23)),"")</f>
        <v>25</v>
      </c>
      <c r="N6" s="183">
        <f>IF(AND(E6="M",Tabla156[[#This Row],[POS]]&lt;&gt;"AB",Tabla156[[#This Row],[POS]]&lt;&gt;"DSQ"),COUNTIFS($J$6:J6,Tabla156[[#This Row],[Clase]],$E$6:E6,"M"),"")</f>
        <v>1</v>
      </c>
      <c r="O6" s="183">
        <f>IF(E6="M",IF(Tabla156[[#This Row],[Tiempo]]="AB","",LOOKUP(Tabla156[[#This Row],[CLAS CLASE]],'Datos puntos'!$A$25:$A$53,'Datos puntos'!$B$25:$B$53)),"")</f>
        <v>10</v>
      </c>
      <c r="P6" s="183">
        <f>IF(Tabla156[[#This Row],[Puntos scratch]]="","NO PUNTÚA",SUM(Tabla156[[#This Row],[Puntos scratch]],Tabla156[[#This Row],[Puntos clase]]))</f>
        <v>35</v>
      </c>
      <c r="Q6" s="183">
        <f>IF(AND(G6="M",Tabla156[[#This Row],[POS]]&lt;&gt;"AB",Tabla156[[#This Row],[POS]]&lt;&gt;"DSQ"),COUNTIF($G$6:G6,"M"),"")</f>
        <v>1</v>
      </c>
      <c r="R6" s="183">
        <f>IF(G6="M",IF(Tabla156[[#This Row],[Tiempo]]="AB","",LOOKUP(Tabla156[[#This Row],[CLAS SCRATCH2]],'Datos puntos'!$A$2:$A$23,'Datos puntos'!$B$2:$B$23)),"")</f>
        <v>25</v>
      </c>
      <c r="S6" s="183">
        <f>IF(AND(G6="M",Tabla156[[#This Row],[POS]]&lt;&gt;"AB",Tabla156[[#This Row],[POS]]&lt;&gt;"DSQ"),COUNTIFS($J$6:J6,Tabla156[[#This Row],[Clase]],$G$6:G6,"M"),"")</f>
        <v>1</v>
      </c>
      <c r="T6" s="183">
        <f>IF(G6="M",IF(Tabla156[[#This Row],[Tiempo]]="AB","",LOOKUP(Tabla156[[#This Row],[CLAS CLASE2]],'Datos puntos'!$A$25:$A$53,'Datos puntos'!$B$25:$B$53)),"")</f>
        <v>10</v>
      </c>
      <c r="U6" s="183">
        <f>IF(Tabla156[[#This Row],[Puntos scratch3]]="","NO PUNTÚA",SUM(Tabla156[[#This Row],[Puntos scratch3]],Tabla156[[#This Row],[Puntos clase5]]))</f>
        <v>35</v>
      </c>
      <c r="W6" s="241">
        <v>25</v>
      </c>
      <c r="X6" s="279" t="s">
        <v>171</v>
      </c>
      <c r="Z6" s="279" t="s">
        <v>171</v>
      </c>
      <c r="AA6" s="172">
        <v>45</v>
      </c>
    </row>
    <row r="7" spans="1:27" s="185" customFormat="1" x14ac:dyDescent="0.35">
      <c r="A7" s="186">
        <v>2</v>
      </c>
      <c r="B7" s="176">
        <v>1</v>
      </c>
      <c r="C7" s="463" t="s">
        <v>171</v>
      </c>
      <c r="D7" s="179" t="s">
        <v>281</v>
      </c>
      <c r="E7" s="179" t="s">
        <v>168</v>
      </c>
      <c r="F7" s="179" t="s">
        <v>293</v>
      </c>
      <c r="G7" s="179" t="s">
        <v>168</v>
      </c>
      <c r="H7" s="179" t="s">
        <v>294</v>
      </c>
      <c r="I7" s="180" t="s">
        <v>200</v>
      </c>
      <c r="J7" s="180">
        <v>1</v>
      </c>
      <c r="K7" s="181"/>
      <c r="L7" s="183">
        <f>IF(AND(E7="M",Tabla156[[#This Row],[POS]]&lt;&gt;"AB",Tabla156[[#This Row],[POS]]&lt;&gt;"DSQ"),COUNTIF($E$6:E7,"M"),"")</f>
        <v>2</v>
      </c>
      <c r="M7" s="183">
        <f>IF(E7="M",IF(Tabla156[[#This Row],[Tiempo]]="AB","",LOOKUP(Tabla156[[#This Row],[CLAS SCRATCH]],'Datos puntos'!$A$2:$A$23,'Datos puntos'!$B$2:$B$23)),"")</f>
        <v>20</v>
      </c>
      <c r="N7" s="183">
        <f>IF(AND(E7="M",Tabla156[[#This Row],[POS]]&lt;&gt;"AB",Tabla156[[#This Row],[POS]]&lt;&gt;"DSQ"),COUNTIFS($J$6:J7,Tabla156[[#This Row],[Clase]],$E$6:E7,"M"),"")</f>
        <v>2</v>
      </c>
      <c r="O7" s="183">
        <f>IF(E7="M",IF(Tabla156[[#This Row],[Tiempo]]="AB","",LOOKUP(Tabla156[[#This Row],[CLAS CLASE]],'Datos puntos'!$A$25:$A$53,'Datos puntos'!$B$25:$B$53)),"")</f>
        <v>8</v>
      </c>
      <c r="P7" s="183">
        <f>IF(Tabla156[[#This Row],[Puntos scratch]]="","NO PUNTÚA",SUM(Tabla156[[#This Row],[Puntos scratch]],Tabla156[[#This Row],[Puntos clase]]))</f>
        <v>28</v>
      </c>
      <c r="Q7" s="183">
        <f>IF(AND(G7="M",Tabla156[[#This Row],[POS]]&lt;&gt;"AB",Tabla156[[#This Row],[POS]]&lt;&gt;"DSQ"),COUNTIF($G$6:G7,"M"),"")</f>
        <v>2</v>
      </c>
      <c r="R7" s="183">
        <f>IF(G7="M",IF(Tabla156[[#This Row],[Tiempo]]="AB","",LOOKUP(Tabla156[[#This Row],[CLAS SCRATCH2]],'Datos puntos'!$A$2:$A$23,'Datos puntos'!$B$2:$B$23)),"")</f>
        <v>20</v>
      </c>
      <c r="S7" s="183">
        <f>IF(AND(G7="M",Tabla156[[#This Row],[POS]]&lt;&gt;"AB",Tabla156[[#This Row],[POS]]&lt;&gt;"DSQ"),COUNTIFS($J$6:J7,Tabla156[[#This Row],[Clase]],$G$6:G7,"M"),"")</f>
        <v>2</v>
      </c>
      <c r="T7" s="183">
        <f>IF(G7="M",IF(Tabla156[[#This Row],[Tiempo]]="AB","",LOOKUP(Tabla156[[#This Row],[CLAS CLASE2]],'Datos puntos'!$A$25:$A$53,'Datos puntos'!$B$25:$B$53)),"")</f>
        <v>8</v>
      </c>
      <c r="U7" s="183">
        <f>IF(Tabla156[[#This Row],[Puntos scratch3]]="","NO PUNTÚA",SUM(Tabla156[[#This Row],[Puntos scratch3]],Tabla156[[#This Row],[Puntos clase5]]))</f>
        <v>28</v>
      </c>
      <c r="W7" s="241">
        <v>20</v>
      </c>
      <c r="X7" s="279" t="s">
        <v>171</v>
      </c>
      <c r="Z7" s="251" t="s">
        <v>169</v>
      </c>
      <c r="AA7" s="172">
        <v>32</v>
      </c>
    </row>
    <row r="8" spans="1:27" x14ac:dyDescent="0.35">
      <c r="A8" s="176">
        <v>3</v>
      </c>
      <c r="B8" s="176">
        <v>2</v>
      </c>
      <c r="C8" s="246" t="s">
        <v>169</v>
      </c>
      <c r="D8" s="179" t="s">
        <v>574</v>
      </c>
      <c r="E8" s="179" t="s">
        <v>168</v>
      </c>
      <c r="F8" s="179" t="s">
        <v>575</v>
      </c>
      <c r="G8" s="179" t="s">
        <v>168</v>
      </c>
      <c r="H8" s="179" t="s">
        <v>170</v>
      </c>
      <c r="I8" s="180" t="s">
        <v>24</v>
      </c>
      <c r="J8" s="180">
        <v>2</v>
      </c>
      <c r="K8" s="181"/>
      <c r="L8" s="183">
        <f>IF(AND(E8="M",Tabla156[[#This Row],[POS]]&lt;&gt;"AB",Tabla156[[#This Row],[POS]]&lt;&gt;"DSQ"),COUNTIF($E$6:E8,"M"),"")</f>
        <v>3</v>
      </c>
      <c r="M8" s="183">
        <f>IF(E8="M",IF(Tabla156[[#This Row],[Tiempo]]="AB","",LOOKUP(Tabla156[[#This Row],[CLAS SCRATCH]],'Datos puntos'!$A$2:$A$23,'Datos puntos'!$B$2:$B$23)),"")</f>
        <v>17</v>
      </c>
      <c r="N8" s="183">
        <f>IF(AND(E8="M",Tabla156[[#This Row],[POS]]&lt;&gt;"AB",Tabla156[[#This Row],[POS]]&lt;&gt;"DSQ"),COUNTIFS($J$6:J8,Tabla156[[#This Row],[Clase]],$E$6:E8,"M"),"")</f>
        <v>1</v>
      </c>
      <c r="O8" s="183">
        <f>IF(E8="M",IF(Tabla156[[#This Row],[Tiempo]]="AB","",LOOKUP(Tabla156[[#This Row],[CLAS CLASE]],'Datos puntos'!$A$25:$A$53,'Datos puntos'!$B$25:$B$53)),"")</f>
        <v>10</v>
      </c>
      <c r="P8" s="183">
        <f>IF(Tabla156[[#This Row],[Puntos scratch]]="","NO PUNTÚA",SUM(Tabla156[[#This Row],[Puntos scratch]],Tabla156[[#This Row],[Puntos clase]]))</f>
        <v>27</v>
      </c>
      <c r="Q8" s="183">
        <f>IF(AND(G8="M",Tabla156[[#This Row],[POS]]&lt;&gt;"AB",Tabla156[[#This Row],[POS]]&lt;&gt;"DSQ"),COUNTIF($G$6:G8,"M"),"")</f>
        <v>3</v>
      </c>
      <c r="R8" s="183">
        <f>IF(G8="M",IF(Tabla156[[#This Row],[Tiempo]]="AB","",LOOKUP(Tabla156[[#This Row],[CLAS SCRATCH2]],'Datos puntos'!$A$2:$A$23,'Datos puntos'!$B$2:$B$23)),"")</f>
        <v>17</v>
      </c>
      <c r="S8" s="183">
        <f>IF(AND(G8="M",Tabla156[[#This Row],[POS]]&lt;&gt;"AB",Tabla156[[#This Row],[POS]]&lt;&gt;"DSQ"),COUNTIFS($J$6:J8,Tabla156[[#This Row],[Clase]],$G$6:G8,"M"),"")</f>
        <v>1</v>
      </c>
      <c r="T8" s="183">
        <f>IF(G8="M",IF(Tabla156[[#This Row],[Tiempo]]="AB","",LOOKUP(Tabla156[[#This Row],[CLAS CLASE2]],'Datos puntos'!$A$25:$A$53,'Datos puntos'!$B$25:$B$53)),"")</f>
        <v>10</v>
      </c>
      <c r="U8" s="183">
        <f>IF(Tabla156[[#This Row],[Puntos scratch3]]="","NO PUNTÚA",SUM(Tabla156[[#This Row],[Puntos scratch3]],Tabla156[[#This Row],[Puntos clase5]]))</f>
        <v>27</v>
      </c>
      <c r="W8" s="241">
        <v>17</v>
      </c>
      <c r="X8" s="251" t="s">
        <v>169</v>
      </c>
      <c r="Z8" s="254" t="s">
        <v>588</v>
      </c>
      <c r="AA8" s="185">
        <v>28</v>
      </c>
    </row>
    <row r="9" spans="1:27" x14ac:dyDescent="0.35">
      <c r="A9" s="176">
        <v>4</v>
      </c>
      <c r="B9" s="176">
        <v>3</v>
      </c>
      <c r="C9" s="246" t="s">
        <v>169</v>
      </c>
      <c r="D9" s="179" t="s">
        <v>576</v>
      </c>
      <c r="E9" s="179" t="s">
        <v>168</v>
      </c>
      <c r="F9" s="179" t="s">
        <v>577</v>
      </c>
      <c r="G9" s="179" t="s">
        <v>168</v>
      </c>
      <c r="H9" s="179" t="s">
        <v>170</v>
      </c>
      <c r="I9" s="180" t="s">
        <v>24</v>
      </c>
      <c r="J9" s="180">
        <v>2</v>
      </c>
      <c r="K9" s="181"/>
      <c r="L9" s="183">
        <f>IF(AND(E9="M",Tabla156[[#This Row],[POS]]&lt;&gt;"AB",Tabla156[[#This Row],[POS]]&lt;&gt;"DSQ"),COUNTIF($E$6:E9,"M"),"")</f>
        <v>4</v>
      </c>
      <c r="M9" s="183">
        <f>IF(E9="M",IF(Tabla156[[#This Row],[Tiempo]]="AB","",LOOKUP(Tabla156[[#This Row],[CLAS SCRATCH]],'Datos puntos'!$A$2:$A$23,'Datos puntos'!$B$2:$B$23)),"")</f>
        <v>15</v>
      </c>
      <c r="N9" s="183">
        <f>IF(AND(E9="M",Tabla156[[#This Row],[POS]]&lt;&gt;"AB",Tabla156[[#This Row],[POS]]&lt;&gt;"DSQ"),COUNTIFS($J$6:J9,Tabla156[[#This Row],[Clase]],$E$6:E9,"M"),"")</f>
        <v>2</v>
      </c>
      <c r="O9" s="183">
        <f>IF(E9="M",IF(Tabla156[[#This Row],[Tiempo]]="AB","",LOOKUP(Tabla156[[#This Row],[CLAS CLASE]],'Datos puntos'!$A$25:$A$53,'Datos puntos'!$B$25:$B$53)),"")</f>
        <v>8</v>
      </c>
      <c r="P9" s="183">
        <f>IF(Tabla156[[#This Row],[Puntos scratch]]="","NO PUNTÚA",SUM(Tabla156[[#This Row],[Puntos scratch]],Tabla156[[#This Row],[Puntos clase]]))</f>
        <v>23</v>
      </c>
      <c r="Q9" s="183">
        <f>IF(AND(G9="M",Tabla156[[#This Row],[POS]]&lt;&gt;"AB",Tabla156[[#This Row],[POS]]&lt;&gt;"DSQ"),COUNTIF($G$6:G9,"M"),"")</f>
        <v>4</v>
      </c>
      <c r="R9" s="183">
        <f>IF(G9="M",IF(Tabla156[[#This Row],[Tiempo]]="AB","",LOOKUP(Tabla156[[#This Row],[CLAS SCRATCH2]],'Datos puntos'!$A$2:$A$23,'Datos puntos'!$B$2:$B$23)),"")</f>
        <v>15</v>
      </c>
      <c r="S9" s="183">
        <f>IF(AND(G9="M",Tabla156[[#This Row],[POS]]&lt;&gt;"AB",Tabla156[[#This Row],[POS]]&lt;&gt;"DSQ"),COUNTIFS($J$6:J9,Tabla156[[#This Row],[Clase]],$G$6:G9,"M"),"")</f>
        <v>2</v>
      </c>
      <c r="T9" s="183">
        <f>IF(G9="M",IF(Tabla156[[#This Row],[Tiempo]]="AB","",LOOKUP(Tabla156[[#This Row],[CLAS CLASE2]],'Datos puntos'!$A$25:$A$53,'Datos puntos'!$B$25:$B$53)),"")</f>
        <v>8</v>
      </c>
      <c r="U9" s="183">
        <f>IF(Tabla156[[#This Row],[Puntos scratch3]]="","NO PUNTÚA",SUM(Tabla156[[#This Row],[Puntos scratch3]],Tabla156[[#This Row],[Puntos clase5]]))</f>
        <v>23</v>
      </c>
      <c r="W9" s="241">
        <v>15</v>
      </c>
      <c r="X9" s="251" t="s">
        <v>169</v>
      </c>
      <c r="Z9" s="252" t="s">
        <v>172</v>
      </c>
      <c r="AA9" s="172">
        <v>10</v>
      </c>
    </row>
    <row r="10" spans="1:27" x14ac:dyDescent="0.35">
      <c r="A10" s="176">
        <v>5</v>
      </c>
      <c r="B10" s="176">
        <v>11</v>
      </c>
      <c r="C10" s="248" t="s">
        <v>588</v>
      </c>
      <c r="D10" s="179" t="s">
        <v>668</v>
      </c>
      <c r="E10" s="179" t="s">
        <v>168</v>
      </c>
      <c r="F10" s="179" t="s">
        <v>669</v>
      </c>
      <c r="G10" s="179" t="s">
        <v>168</v>
      </c>
      <c r="H10" s="179" t="s">
        <v>239</v>
      </c>
      <c r="I10" s="180" t="s">
        <v>24</v>
      </c>
      <c r="J10" s="180">
        <v>2</v>
      </c>
      <c r="K10" s="181"/>
      <c r="L10" s="183">
        <f>IF(AND(E10="M",Tabla156[[#This Row],[POS]]&lt;&gt;"AB",Tabla156[[#This Row],[POS]]&lt;&gt;"DSQ"),COUNTIF($E$6:E10,"M"),"")</f>
        <v>5</v>
      </c>
      <c r="M10" s="183">
        <f>IF(E10="M",IF(Tabla156[[#This Row],[Tiempo]]="AB","",LOOKUP(Tabla156[[#This Row],[CLAS SCRATCH]],'Datos puntos'!$A$2:$A$23,'Datos puntos'!$B$2:$B$23)),"")</f>
        <v>12</v>
      </c>
      <c r="N10" s="183">
        <f>IF(AND(E10="M",Tabla156[[#This Row],[POS]]&lt;&gt;"AB",Tabla156[[#This Row],[POS]]&lt;&gt;"DSQ"),COUNTIFS($J$6:J10,Tabla156[[#This Row],[Clase]],$E$6:E10,"M"),"")</f>
        <v>3</v>
      </c>
      <c r="O10" s="183">
        <f>IF(E10="M",IF(Tabla156[[#This Row],[Tiempo]]="AB","",LOOKUP(Tabla156[[#This Row],[CLAS CLASE]],'Datos puntos'!$A$25:$A$53,'Datos puntos'!$B$25:$B$53)),"")</f>
        <v>6</v>
      </c>
      <c r="P10" s="183">
        <f>IF(Tabla156[[#This Row],[Puntos scratch]]="","NO PUNTÚA",SUM(Tabla156[[#This Row],[Puntos scratch]],Tabla156[[#This Row],[Puntos clase]]))</f>
        <v>18</v>
      </c>
      <c r="Q10" s="183">
        <f>IF(AND(G10="M",Tabla156[[#This Row],[POS]]&lt;&gt;"AB",Tabla156[[#This Row],[POS]]&lt;&gt;"DSQ"),COUNTIF($G$6:G10,"M"),"")</f>
        <v>5</v>
      </c>
      <c r="R10" s="183">
        <f>IF(G10="M",IF(Tabla156[[#This Row],[Tiempo]]="AB","",LOOKUP(Tabla156[[#This Row],[CLAS SCRATCH2]],'Datos puntos'!$A$2:$A$23,'Datos puntos'!$B$2:$B$23)),"")</f>
        <v>12</v>
      </c>
      <c r="S10" s="183">
        <f>IF(AND(G10="M",Tabla156[[#This Row],[POS]]&lt;&gt;"AB",Tabla156[[#This Row],[POS]]&lt;&gt;"DSQ"),COUNTIFS($J$6:J10,Tabla156[[#This Row],[Clase]],$G$6:G10,"M"),"")</f>
        <v>3</v>
      </c>
      <c r="T10" s="183">
        <f>IF(G10="M",IF(Tabla156[[#This Row],[Tiempo]]="AB","",LOOKUP(Tabla156[[#This Row],[CLAS CLASE2]],'Datos puntos'!$A$25:$A$53,'Datos puntos'!$B$25:$B$53)),"")</f>
        <v>6</v>
      </c>
      <c r="U10" s="183">
        <f>IF(Tabla156[[#This Row],[Puntos scratch3]]="","NO PUNTÚA",SUM(Tabla156[[#This Row],[Puntos scratch3]],Tabla156[[#This Row],[Puntos clase5]]))</f>
        <v>18</v>
      </c>
      <c r="W10" s="241">
        <v>12</v>
      </c>
      <c r="X10" s="254" t="s">
        <v>588</v>
      </c>
      <c r="Z10" s="253" t="s">
        <v>330</v>
      </c>
      <c r="AA10" s="172">
        <v>5</v>
      </c>
    </row>
    <row r="11" spans="1:27" x14ac:dyDescent="0.35">
      <c r="A11" s="184">
        <v>6</v>
      </c>
      <c r="B11" s="176">
        <v>26</v>
      </c>
      <c r="C11" s="466" t="s">
        <v>588</v>
      </c>
      <c r="D11" s="179" t="s">
        <v>408</v>
      </c>
      <c r="E11" s="179" t="s">
        <v>168</v>
      </c>
      <c r="F11" s="179" t="s">
        <v>631</v>
      </c>
      <c r="G11" s="179" t="s">
        <v>168</v>
      </c>
      <c r="H11" s="179" t="s">
        <v>419</v>
      </c>
      <c r="I11" s="180" t="s">
        <v>24</v>
      </c>
      <c r="J11" s="180">
        <v>5</v>
      </c>
      <c r="K11" s="181"/>
      <c r="L11" s="183">
        <f>IF(AND(E11="M",Tabla156[[#This Row],[POS]]&lt;&gt;"AB",Tabla156[[#This Row],[POS]]&lt;&gt;"DSQ"),COUNTIF($E$6:E11,"M"),"")</f>
        <v>6</v>
      </c>
      <c r="M11" s="183">
        <f>IF(E11="M",IF(Tabla156[[#This Row],[Tiempo]]="AB","",LOOKUP(Tabla156[[#This Row],[CLAS SCRATCH]],'Datos puntos'!$A$2:$A$23,'Datos puntos'!$B$2:$B$23)),"")</f>
        <v>10</v>
      </c>
      <c r="N11" s="183">
        <f>IF(AND(E11="M",Tabla156[[#This Row],[POS]]&lt;&gt;"AB",Tabla156[[#This Row],[POS]]&lt;&gt;"DSQ"),COUNTIFS($J$6:J11,Tabla156[[#This Row],[Clase]],$E$6:E11,"M"),"")</f>
        <v>1</v>
      </c>
      <c r="O11" s="183">
        <f>IF(E11="M",IF(Tabla156[[#This Row],[Tiempo]]="AB","",LOOKUP(Tabla156[[#This Row],[CLAS CLASE]],'Datos puntos'!$A$25:$A$53,'Datos puntos'!$B$25:$B$53)),"")</f>
        <v>10</v>
      </c>
      <c r="P11" s="183">
        <f>IF(Tabla156[[#This Row],[Puntos scratch]]="","NO PUNTÚA",SUM(Tabla156[[#This Row],[Puntos scratch]],Tabla156[[#This Row],[Puntos clase]]))</f>
        <v>20</v>
      </c>
      <c r="Q11" s="183">
        <f>IF(AND(G11="M",Tabla156[[#This Row],[POS]]&lt;&gt;"AB",Tabla156[[#This Row],[POS]]&lt;&gt;"DSQ"),COUNTIF($G$6:G11,"M"),"")</f>
        <v>6</v>
      </c>
      <c r="R11" s="183">
        <f>IF(G11="M",IF(Tabla156[[#This Row],[Tiempo]]="AB","",LOOKUP(Tabla156[[#This Row],[CLAS SCRATCH2]],'Datos puntos'!$A$2:$A$23,'Datos puntos'!$B$2:$B$23)),"")</f>
        <v>10</v>
      </c>
      <c r="S11" s="183">
        <f>IF(AND(G11="M",Tabla156[[#This Row],[POS]]&lt;&gt;"AB",Tabla156[[#This Row],[POS]]&lt;&gt;"DSQ"),COUNTIFS($J$6:J11,Tabla156[[#This Row],[Clase]],$G$6:G11,"M"),"")</f>
        <v>1</v>
      </c>
      <c r="T11" s="183">
        <f>IF(G11="M",IF(Tabla156[[#This Row],[Tiempo]]="AB","",LOOKUP(Tabla156[[#This Row],[CLAS CLASE2]],'Datos puntos'!$A$25:$A$53,'Datos puntos'!$B$25:$B$53)),"")</f>
        <v>10</v>
      </c>
      <c r="U11" s="183">
        <f>IF(Tabla156[[#This Row],[Puntos scratch3]]="","NO PUNTÚA",SUM(Tabla156[[#This Row],[Puntos scratch3]],Tabla156[[#This Row],[Puntos clase5]]))</f>
        <v>20</v>
      </c>
      <c r="W11" s="241">
        <v>10</v>
      </c>
      <c r="X11" s="492" t="s">
        <v>588</v>
      </c>
      <c r="Z11" s="489" t="s">
        <v>609</v>
      </c>
      <c r="AA11" s="172">
        <v>4</v>
      </c>
    </row>
    <row r="12" spans="1:27" x14ac:dyDescent="0.35">
      <c r="A12" s="176">
        <v>7</v>
      </c>
      <c r="B12" s="176">
        <v>6</v>
      </c>
      <c r="C12" s="245" t="s">
        <v>172</v>
      </c>
      <c r="D12" s="179" t="s">
        <v>368</v>
      </c>
      <c r="E12" s="179" t="s">
        <v>168</v>
      </c>
      <c r="F12" s="179" t="s">
        <v>590</v>
      </c>
      <c r="G12" s="179" t="s">
        <v>168</v>
      </c>
      <c r="H12" s="179" t="s">
        <v>201</v>
      </c>
      <c r="I12" s="180" t="s">
        <v>24</v>
      </c>
      <c r="J12" s="180">
        <v>3</v>
      </c>
      <c r="K12" s="181"/>
      <c r="L12" s="183">
        <f>IF(AND(E12="M",Tabla156[[#This Row],[POS]]&lt;&gt;"AB",Tabla156[[#This Row],[POS]]&lt;&gt;"DSQ"),COUNTIF($E$6:E12,"M"),"")</f>
        <v>7</v>
      </c>
      <c r="M12" s="183">
        <f>IF(E12="M",IF(Tabla156[[#This Row],[Tiempo]]="AB","",LOOKUP(Tabla156[[#This Row],[CLAS SCRATCH]],'Datos puntos'!$A$2:$A$23,'Datos puntos'!$B$2:$B$23)),"")</f>
        <v>8</v>
      </c>
      <c r="N12" s="183">
        <f>IF(AND(E12="M",Tabla156[[#This Row],[POS]]&lt;&gt;"AB",Tabla156[[#This Row],[POS]]&lt;&gt;"DSQ"),COUNTIFS($J$6:J12,Tabla156[[#This Row],[Clase]],$E$6:E12,"M"),"")</f>
        <v>1</v>
      </c>
      <c r="O12" s="183">
        <f>IF(E12="M",IF(Tabla156[[#This Row],[Tiempo]]="AB","",LOOKUP(Tabla156[[#This Row],[CLAS CLASE]],'Datos puntos'!$A$25:$A$53,'Datos puntos'!$B$25:$B$53)),"")</f>
        <v>10</v>
      </c>
      <c r="P12" s="183">
        <f>IF(Tabla156[[#This Row],[Puntos scratch]]="","NO PUNTÚA",SUM(Tabla156[[#This Row],[Puntos scratch]],Tabla156[[#This Row],[Puntos clase]]))</f>
        <v>18</v>
      </c>
      <c r="Q12" s="183">
        <f>IF(AND(G12="M",Tabla156[[#This Row],[POS]]&lt;&gt;"AB",Tabla156[[#This Row],[POS]]&lt;&gt;"DSQ"),COUNTIF($G$6:G12,"M"),"")</f>
        <v>7</v>
      </c>
      <c r="R12" s="183">
        <f>IF(G12="M",IF(Tabla156[[#This Row],[Tiempo]]="AB","",LOOKUP(Tabla156[[#This Row],[CLAS SCRATCH2]],'Datos puntos'!$A$2:$A$23,'Datos puntos'!$B$2:$B$23)),"")</f>
        <v>8</v>
      </c>
      <c r="S12" s="183">
        <f>IF(AND(G12="M",Tabla156[[#This Row],[POS]]&lt;&gt;"AB",Tabla156[[#This Row],[POS]]&lt;&gt;"DSQ"),COUNTIFS($J$6:J12,Tabla156[[#This Row],[Clase]],$G$6:G12,"M"),"")</f>
        <v>1</v>
      </c>
      <c r="T12" s="183">
        <f>IF(G12="M",IF(Tabla156[[#This Row],[Tiempo]]="AB","",LOOKUP(Tabla156[[#This Row],[CLAS CLASE2]],'Datos puntos'!$A$25:$A$53,'Datos puntos'!$B$25:$B$53)),"")</f>
        <v>10</v>
      </c>
      <c r="U12" s="183">
        <f>IF(Tabla156[[#This Row],[Puntos scratch3]]="","NO PUNTÚA",SUM(Tabla156[[#This Row],[Puntos scratch3]],Tabla156[[#This Row],[Puntos clase5]]))</f>
        <v>18</v>
      </c>
      <c r="W12" s="241">
        <v>8</v>
      </c>
      <c r="X12" s="252" t="s">
        <v>172</v>
      </c>
      <c r="Z12" s="511" t="s">
        <v>304</v>
      </c>
      <c r="AA12" s="172">
        <v>0</v>
      </c>
    </row>
    <row r="13" spans="1:27" x14ac:dyDescent="0.35">
      <c r="A13" s="176">
        <v>8</v>
      </c>
      <c r="B13" s="176">
        <v>33</v>
      </c>
      <c r="C13" s="465" t="s">
        <v>588</v>
      </c>
      <c r="D13" s="179" t="s">
        <v>624</v>
      </c>
      <c r="E13" s="179" t="s">
        <v>168</v>
      </c>
      <c r="F13" s="179" t="s">
        <v>638</v>
      </c>
      <c r="G13" s="179" t="s">
        <v>168</v>
      </c>
      <c r="H13" s="179" t="s">
        <v>176</v>
      </c>
      <c r="I13" s="180" t="s">
        <v>24</v>
      </c>
      <c r="J13" s="180">
        <v>4</v>
      </c>
      <c r="K13" s="181"/>
      <c r="L13" s="183">
        <f>IF(AND(E13="M",Tabla156[[#This Row],[POS]]&lt;&gt;"AB",Tabla156[[#This Row],[POS]]&lt;&gt;"DSQ"),COUNTIF($E$6:E13,"M"),"")</f>
        <v>8</v>
      </c>
      <c r="M13" s="183">
        <f>IF(E13="M",IF(Tabla156[[#This Row],[Tiempo]]="AB","",LOOKUP(Tabla156[[#This Row],[CLAS SCRATCH]],'Datos puntos'!$A$2:$A$23,'Datos puntos'!$B$2:$B$23)),"")</f>
        <v>6</v>
      </c>
      <c r="N13" s="183">
        <f>IF(AND(E13="M",Tabla156[[#This Row],[POS]]&lt;&gt;"AB",Tabla156[[#This Row],[POS]]&lt;&gt;"DSQ"),COUNTIFS($J$6:J13,Tabla156[[#This Row],[Clase]],$E$6:E13,"M"),"")</f>
        <v>1</v>
      </c>
      <c r="O13" s="183">
        <f>IF(E13="M",IF(Tabla156[[#This Row],[Tiempo]]="AB","",LOOKUP(Tabla156[[#This Row],[CLAS CLASE]],'Datos puntos'!$A$25:$A$53,'Datos puntos'!$B$25:$B$53)),"")</f>
        <v>10</v>
      </c>
      <c r="P13" s="183">
        <f>IF(Tabla156[[#This Row],[Puntos scratch]]="","NO PUNTÚA",SUM(Tabla156[[#This Row],[Puntos scratch]],Tabla156[[#This Row],[Puntos clase]]))</f>
        <v>16</v>
      </c>
      <c r="Q13" s="183">
        <f>IF(AND(G13="M",Tabla156[[#This Row],[POS]]&lt;&gt;"AB",Tabla156[[#This Row],[POS]]&lt;&gt;"DSQ"),COUNTIF($G$6:G13,"M"),"")</f>
        <v>8</v>
      </c>
      <c r="R13" s="183">
        <f>IF(G13="M",IF(Tabla156[[#This Row],[Tiempo]]="AB","",LOOKUP(Tabla156[[#This Row],[CLAS SCRATCH2]],'Datos puntos'!$A$2:$A$23,'Datos puntos'!$B$2:$B$23)),"")</f>
        <v>6</v>
      </c>
      <c r="S13" s="183">
        <f>IF(AND(G13="M",Tabla156[[#This Row],[POS]]&lt;&gt;"AB",Tabla156[[#This Row],[POS]]&lt;&gt;"DSQ"),COUNTIFS($J$6:J13,Tabla156[[#This Row],[Clase]],$G$6:G13,"M"),"")</f>
        <v>1</v>
      </c>
      <c r="T13" s="183">
        <f>IF(G13="M",IF(Tabla156[[#This Row],[Tiempo]]="AB","",LOOKUP(Tabla156[[#This Row],[CLAS CLASE2]],'Datos puntos'!$A$25:$A$53,'Datos puntos'!$B$25:$B$53)),"")</f>
        <v>10</v>
      </c>
      <c r="U13" s="183">
        <f>IF(Tabla156[[#This Row],[Puntos scratch3]]="","NO PUNTÚA",SUM(Tabla156[[#This Row],[Puntos scratch3]],Tabla156[[#This Row],[Puntos clase5]]))</f>
        <v>16</v>
      </c>
      <c r="W13" s="241">
        <v>6</v>
      </c>
      <c r="X13" s="491" t="s">
        <v>588</v>
      </c>
    </row>
    <row r="14" spans="1:27" x14ac:dyDescent="0.35">
      <c r="A14" s="176">
        <v>9</v>
      </c>
      <c r="B14" s="176">
        <v>32</v>
      </c>
      <c r="C14" s="247" t="s">
        <v>330</v>
      </c>
      <c r="D14" s="179" t="s">
        <v>332</v>
      </c>
      <c r="E14" s="179" t="s">
        <v>168</v>
      </c>
      <c r="F14" s="179" t="s">
        <v>456</v>
      </c>
      <c r="G14" s="179" t="s">
        <v>600</v>
      </c>
      <c r="H14" s="179" t="s">
        <v>176</v>
      </c>
      <c r="I14" s="180" t="s">
        <v>24</v>
      </c>
      <c r="J14" s="180">
        <v>4</v>
      </c>
      <c r="K14" s="181"/>
      <c r="L14" s="183">
        <f>IF(AND(E14="M",Tabla156[[#This Row],[POS]]&lt;&gt;"AB",Tabla156[[#This Row],[POS]]&lt;&gt;"DSQ"),COUNTIF($E$6:E14,"M"),"")</f>
        <v>9</v>
      </c>
      <c r="M14" s="183">
        <f>IF(E14="M",IF(Tabla156[[#This Row],[Tiempo]]="AB","",LOOKUP(Tabla156[[#This Row],[CLAS SCRATCH]],'Datos puntos'!$A$2:$A$23,'Datos puntos'!$B$2:$B$23)),"")</f>
        <v>5</v>
      </c>
      <c r="N14" s="183">
        <f>IF(AND(E14="M",Tabla156[[#This Row],[POS]]&lt;&gt;"AB",Tabla156[[#This Row],[POS]]&lt;&gt;"DSQ"),COUNTIFS($J$6:J14,Tabla156[[#This Row],[Clase]],$E$6:E14,"M"),"")</f>
        <v>2</v>
      </c>
      <c r="O14" s="183">
        <f>IF(E14="M",IF(Tabla156[[#This Row],[Tiempo]]="AB","",LOOKUP(Tabla156[[#This Row],[CLAS CLASE]],'Datos puntos'!$A$25:$A$53,'Datos puntos'!$B$25:$B$53)),"")</f>
        <v>8</v>
      </c>
      <c r="P14" s="183">
        <f>IF(Tabla156[[#This Row],[Puntos scratch]]="","NO PUNTÚA",SUM(Tabla156[[#This Row],[Puntos scratch]],Tabla156[[#This Row],[Puntos clase]]))</f>
        <v>13</v>
      </c>
      <c r="Q14" s="183" t="str">
        <f>IF(AND(G14="M",Tabla156[[#This Row],[POS]]&lt;&gt;"AB",Tabla156[[#This Row],[POS]]&lt;&gt;"DSQ"),COUNTIF($G$6:G14,"M"),"")</f>
        <v/>
      </c>
      <c r="R14" s="183" t="str">
        <f>IF(G14="M",IF(Tabla156[[#This Row],[Tiempo]]="AB","",LOOKUP(Tabla156[[#This Row],[CLAS SCRATCH2]],'Datos puntos'!$A$2:$A$23,'Datos puntos'!$B$2:$B$23)),"")</f>
        <v/>
      </c>
      <c r="S14" s="183" t="str">
        <f>IF(AND(G14="M",Tabla156[[#This Row],[POS]]&lt;&gt;"AB",Tabla156[[#This Row],[POS]]&lt;&gt;"DSQ"),COUNTIFS($J$6:J14,Tabla156[[#This Row],[Clase]],$G$6:G14,"M"),"")</f>
        <v/>
      </c>
      <c r="T14" s="183" t="str">
        <f>IF(G14="M",IF(Tabla156[[#This Row],[Tiempo]]="AB","",LOOKUP(Tabla156[[#This Row],[CLAS CLASE2]],'Datos puntos'!$A$25:$A$53,'Datos puntos'!$B$25:$B$53)),"")</f>
        <v/>
      </c>
      <c r="U14" s="183" t="str">
        <f>IF(Tabla156[[#This Row],[Puntos scratch3]]="","NO PUNTÚA",SUM(Tabla156[[#This Row],[Puntos scratch3]],Tabla156[[#This Row],[Puntos clase5]]))</f>
        <v>NO PUNTÚA</v>
      </c>
      <c r="W14" s="241">
        <v>5</v>
      </c>
      <c r="X14" s="253" t="s">
        <v>330</v>
      </c>
    </row>
    <row r="15" spans="1:27" x14ac:dyDescent="0.35">
      <c r="A15" s="184">
        <v>10</v>
      </c>
      <c r="B15" s="176">
        <v>16</v>
      </c>
      <c r="C15" s="464" t="s">
        <v>609</v>
      </c>
      <c r="D15" s="179" t="s">
        <v>610</v>
      </c>
      <c r="E15" s="179" t="s">
        <v>168</v>
      </c>
      <c r="F15" s="179" t="s">
        <v>611</v>
      </c>
      <c r="G15" s="179" t="s">
        <v>168</v>
      </c>
      <c r="H15" s="179" t="s">
        <v>612</v>
      </c>
      <c r="I15" s="180" t="s">
        <v>24</v>
      </c>
      <c r="J15" s="180">
        <v>3</v>
      </c>
      <c r="K15" s="181"/>
      <c r="L15" s="183">
        <f>IF(AND(E15="M",Tabla156[[#This Row],[POS]]&lt;&gt;"AB",Tabla156[[#This Row],[POS]]&lt;&gt;"DSQ"),COUNTIF($E$6:E15,"M"),"")</f>
        <v>10</v>
      </c>
      <c r="M15" s="183">
        <f>IF(E15="M",IF(Tabla156[[#This Row],[Tiempo]]="AB","",LOOKUP(Tabla156[[#This Row],[CLAS SCRATCH]],'Datos puntos'!$A$2:$A$23,'Datos puntos'!$B$2:$B$23)),"")</f>
        <v>4</v>
      </c>
      <c r="N15" s="183">
        <f>IF(AND(E15="M",Tabla156[[#This Row],[POS]]&lt;&gt;"AB",Tabla156[[#This Row],[POS]]&lt;&gt;"DSQ"),COUNTIFS($J$6:J15,Tabla156[[#This Row],[Clase]],$E$6:E15,"M"),"")</f>
        <v>2</v>
      </c>
      <c r="O15" s="183">
        <f>IF(E15="M",IF(Tabla156[[#This Row],[Tiempo]]="AB","",LOOKUP(Tabla156[[#This Row],[CLAS CLASE]],'Datos puntos'!$A$25:$A$53,'Datos puntos'!$B$25:$B$53)),"")</f>
        <v>8</v>
      </c>
      <c r="P15" s="183">
        <f>IF(Tabla156[[#This Row],[Puntos scratch]]="","NO PUNTÚA",SUM(Tabla156[[#This Row],[Puntos scratch]],Tabla156[[#This Row],[Puntos clase]]))</f>
        <v>12</v>
      </c>
      <c r="Q15" s="183">
        <f>IF(AND(G15="M",Tabla156[[#This Row],[POS]]&lt;&gt;"AB",Tabla156[[#This Row],[POS]]&lt;&gt;"DSQ"),COUNTIF($G$6:G15,"M"),"")</f>
        <v>9</v>
      </c>
      <c r="R15" s="183">
        <f>IF(G15="M",IF(Tabla156[[#This Row],[Tiempo]]="AB","",LOOKUP(Tabla156[[#This Row],[CLAS SCRATCH2]],'Datos puntos'!$A$2:$A$23,'Datos puntos'!$B$2:$B$23)),"")</f>
        <v>5</v>
      </c>
      <c r="S15" s="183">
        <f>IF(AND(G15="M",Tabla156[[#This Row],[POS]]&lt;&gt;"AB",Tabla156[[#This Row],[POS]]&lt;&gt;"DSQ"),COUNTIFS($J$6:J15,Tabla156[[#This Row],[Clase]],$G$6:G15,"M"),"")</f>
        <v>2</v>
      </c>
      <c r="T15" s="183">
        <f>IF(G15="M",IF(Tabla156[[#This Row],[Tiempo]]="AB","",LOOKUP(Tabla156[[#This Row],[CLAS CLASE2]],'Datos puntos'!$A$25:$A$53,'Datos puntos'!$B$25:$B$53)),"")</f>
        <v>8</v>
      </c>
      <c r="U15" s="183">
        <f>IF(Tabla156[[#This Row],[Puntos scratch3]]="","NO PUNTÚA",SUM(Tabla156[[#This Row],[Puntos scratch3]],Tabla156[[#This Row],[Puntos clase5]]))</f>
        <v>13</v>
      </c>
      <c r="W15" s="241">
        <v>4</v>
      </c>
      <c r="X15" s="489" t="s">
        <v>609</v>
      </c>
    </row>
    <row r="16" spans="1:27" x14ac:dyDescent="0.35">
      <c r="A16" s="176">
        <v>11</v>
      </c>
      <c r="B16" s="176">
        <v>29</v>
      </c>
      <c r="C16" s="465" t="s">
        <v>588</v>
      </c>
      <c r="D16" s="179" t="s">
        <v>698</v>
      </c>
      <c r="E16" s="179" t="s">
        <v>168</v>
      </c>
      <c r="F16" s="179" t="s">
        <v>699</v>
      </c>
      <c r="G16" s="179" t="s">
        <v>168</v>
      </c>
      <c r="H16" s="179" t="s">
        <v>416</v>
      </c>
      <c r="I16" s="180" t="s">
        <v>24</v>
      </c>
      <c r="J16" s="180">
        <v>5</v>
      </c>
      <c r="K16" s="181"/>
      <c r="L16" s="183">
        <f>IF(AND(E16="M",Tabla156[[#This Row],[POS]]&lt;&gt;"AB",Tabla156[[#This Row],[POS]]&lt;&gt;"DSQ"),COUNTIF($E$6:E16,"M"),"")</f>
        <v>11</v>
      </c>
      <c r="M16" s="183">
        <f>IF(E16="M",IF(Tabla156[[#This Row],[Tiempo]]="AB","",LOOKUP(Tabla156[[#This Row],[CLAS SCRATCH]],'Datos puntos'!$A$2:$A$23,'Datos puntos'!$B$2:$B$23)),"")</f>
        <v>3</v>
      </c>
      <c r="N16" s="183">
        <f>IF(AND(E16="M",Tabla156[[#This Row],[POS]]&lt;&gt;"AB",Tabla156[[#This Row],[POS]]&lt;&gt;"DSQ"),COUNTIFS($J$6:J16,Tabla156[[#This Row],[Clase]],$E$6:E16,"M"),"")</f>
        <v>2</v>
      </c>
      <c r="O16" s="183">
        <f>IF(E16="M",IF(Tabla156[[#This Row],[Tiempo]]="AB","",LOOKUP(Tabla156[[#This Row],[CLAS CLASE]],'Datos puntos'!$A$25:$A$53,'Datos puntos'!$B$25:$B$53)),"")</f>
        <v>8</v>
      </c>
      <c r="P16" s="183">
        <f>IF(Tabla156[[#This Row],[Puntos scratch]]="","NO PUNTÚA",SUM(Tabla156[[#This Row],[Puntos scratch]],Tabla156[[#This Row],[Puntos clase]]))</f>
        <v>11</v>
      </c>
      <c r="Q16" s="183">
        <f>IF(AND(G16="M",Tabla156[[#This Row],[POS]]&lt;&gt;"AB",Tabla156[[#This Row],[POS]]&lt;&gt;"DSQ"),COUNTIF($G$6:G16,"M"),"")</f>
        <v>10</v>
      </c>
      <c r="R16" s="183">
        <f>IF(G16="M",IF(Tabla156[[#This Row],[Tiempo]]="AB","",LOOKUP(Tabla156[[#This Row],[CLAS SCRATCH2]],'Datos puntos'!$A$2:$A$23,'Datos puntos'!$B$2:$B$23)),"")</f>
        <v>4</v>
      </c>
      <c r="S16" s="183">
        <f>IF(AND(G16="M",Tabla156[[#This Row],[POS]]&lt;&gt;"AB",Tabla156[[#This Row],[POS]]&lt;&gt;"DSQ"),COUNTIFS($J$6:J16,Tabla156[[#This Row],[Clase]],$G$6:G16,"M"),"")</f>
        <v>2</v>
      </c>
      <c r="T16" s="183">
        <f>IF(G16="M",IF(Tabla156[[#This Row],[Tiempo]]="AB","",LOOKUP(Tabla156[[#This Row],[CLAS CLASE2]],'Datos puntos'!$A$25:$A$53,'Datos puntos'!$B$25:$B$53)),"")</f>
        <v>8</v>
      </c>
      <c r="U16" s="183">
        <f>IF(Tabla156[[#This Row],[Puntos scratch3]]="","NO PUNTÚA",SUM(Tabla156[[#This Row],[Puntos scratch3]],Tabla156[[#This Row],[Puntos clase5]]))</f>
        <v>12</v>
      </c>
      <c r="W16" s="241">
        <v>3</v>
      </c>
      <c r="X16" s="491" t="s">
        <v>588</v>
      </c>
    </row>
    <row r="17" spans="1:24" x14ac:dyDescent="0.35">
      <c r="A17" s="176">
        <v>12</v>
      </c>
      <c r="B17" s="176">
        <v>20</v>
      </c>
      <c r="C17" s="245" t="s">
        <v>172</v>
      </c>
      <c r="D17" s="179" t="s">
        <v>595</v>
      </c>
      <c r="E17" s="179" t="s">
        <v>168</v>
      </c>
      <c r="F17" s="179" t="s">
        <v>596</v>
      </c>
      <c r="G17" s="179" t="s">
        <v>168</v>
      </c>
      <c r="H17" s="179" t="s">
        <v>314</v>
      </c>
      <c r="I17" s="180" t="s">
        <v>24</v>
      </c>
      <c r="J17" s="180">
        <v>3</v>
      </c>
      <c r="K17" s="181"/>
      <c r="L17" s="183">
        <f>IF(AND(E17="M",Tabla156[[#This Row],[POS]]&lt;&gt;"AB",Tabla156[[#This Row],[POS]]&lt;&gt;"DSQ"),COUNTIF($E$6:E17,"M"),"")</f>
        <v>12</v>
      </c>
      <c r="M17" s="183">
        <f>IF(E17="M",IF(Tabla156[[#This Row],[Tiempo]]="AB","",LOOKUP(Tabla156[[#This Row],[CLAS SCRATCH]],'Datos puntos'!$A$2:$A$23,'Datos puntos'!$B$2:$B$23)),"")</f>
        <v>2</v>
      </c>
      <c r="N17" s="183">
        <f>IF(AND(E17="M",Tabla156[[#This Row],[POS]]&lt;&gt;"AB",Tabla156[[#This Row],[POS]]&lt;&gt;"DSQ"),COUNTIFS($J$6:J17,Tabla156[[#This Row],[Clase]],$E$6:E17,"M"),"")</f>
        <v>3</v>
      </c>
      <c r="O17" s="183">
        <f>IF(E17="M",IF(Tabla156[[#This Row],[Tiempo]]="AB","",LOOKUP(Tabla156[[#This Row],[CLAS CLASE]],'Datos puntos'!$A$25:$A$53,'Datos puntos'!$B$25:$B$53)),"")</f>
        <v>6</v>
      </c>
      <c r="P17" s="183">
        <f>IF(Tabla156[[#This Row],[Puntos scratch]]="","NO PUNTÚA",SUM(Tabla156[[#This Row],[Puntos scratch]],Tabla156[[#This Row],[Puntos clase]]))</f>
        <v>8</v>
      </c>
      <c r="Q17" s="183">
        <f>IF(AND(G17="M",Tabla156[[#This Row],[POS]]&lt;&gt;"AB",Tabla156[[#This Row],[POS]]&lt;&gt;"DSQ"),COUNTIF($G$6:G17,"M"),"")</f>
        <v>11</v>
      </c>
      <c r="R17" s="183">
        <f>IF(G17="M",IF(Tabla156[[#This Row],[Tiempo]]="AB","",LOOKUP(Tabla156[[#This Row],[CLAS SCRATCH2]],'Datos puntos'!$A$2:$A$23,'Datos puntos'!$B$2:$B$23)),"")</f>
        <v>3</v>
      </c>
      <c r="S17" s="183">
        <f>IF(AND(G17="M",Tabla156[[#This Row],[POS]]&lt;&gt;"AB",Tabla156[[#This Row],[POS]]&lt;&gt;"DSQ"),COUNTIFS($J$6:J17,Tabla156[[#This Row],[Clase]],$G$6:G17,"M"),"")</f>
        <v>3</v>
      </c>
      <c r="T17" s="183">
        <f>IF(G17="M",IF(Tabla156[[#This Row],[Tiempo]]="AB","",LOOKUP(Tabla156[[#This Row],[CLAS CLASE2]],'Datos puntos'!$A$25:$A$53,'Datos puntos'!$B$25:$B$53)),"")</f>
        <v>6</v>
      </c>
      <c r="U17" s="183">
        <f>IF(Tabla156[[#This Row],[Puntos scratch3]]="","NO PUNTÚA",SUM(Tabla156[[#This Row],[Puntos scratch3]],Tabla156[[#This Row],[Puntos clase5]]))</f>
        <v>9</v>
      </c>
      <c r="W17" s="241">
        <v>2</v>
      </c>
      <c r="X17" s="252" t="s">
        <v>172</v>
      </c>
    </row>
    <row r="18" spans="1:24" x14ac:dyDescent="0.35">
      <c r="A18" s="176">
        <v>13</v>
      </c>
      <c r="B18" s="176">
        <v>24</v>
      </c>
      <c r="C18" s="246" t="s">
        <v>169</v>
      </c>
      <c r="D18" s="179" t="s">
        <v>632</v>
      </c>
      <c r="E18" s="179" t="s">
        <v>168</v>
      </c>
      <c r="F18" s="179" t="s">
        <v>633</v>
      </c>
      <c r="G18" s="179" t="s">
        <v>168</v>
      </c>
      <c r="H18" s="179" t="s">
        <v>314</v>
      </c>
      <c r="I18" s="180" t="s">
        <v>24</v>
      </c>
      <c r="J18" s="180">
        <v>3</v>
      </c>
      <c r="K18" s="181"/>
      <c r="L18" s="183">
        <f>IF(AND(E18="M",Tabla156[[#This Row],[POS]]&lt;&gt;"AB",Tabla156[[#This Row],[POS]]&lt;&gt;"DSQ"),COUNTIF($E$6:E18,"M"),"")</f>
        <v>13</v>
      </c>
      <c r="M18" s="183">
        <f>IF(E18="M",IF(Tabla156[[#This Row],[Tiempo]]="AB","",LOOKUP(Tabla156[[#This Row],[CLAS SCRATCH]],'Datos puntos'!$A$2:$A$23,'Datos puntos'!$B$2:$B$23)),"")</f>
        <v>1</v>
      </c>
      <c r="N18" s="183">
        <f>IF(AND(E18="M",Tabla156[[#This Row],[POS]]&lt;&gt;"AB",Tabla156[[#This Row],[POS]]&lt;&gt;"DSQ"),COUNTIFS($J$6:J18,Tabla156[[#This Row],[Clase]],$E$6:E18,"M"),"")</f>
        <v>4</v>
      </c>
      <c r="O18" s="183">
        <f>IF(E18="M",IF(Tabla156[[#This Row],[Tiempo]]="AB","",LOOKUP(Tabla156[[#This Row],[CLAS CLASE]],'Datos puntos'!$A$25:$A$53,'Datos puntos'!$B$25:$B$53)),"")</f>
        <v>5</v>
      </c>
      <c r="P18" s="183">
        <f>IF(Tabla156[[#This Row],[Puntos scratch]]="","NO PUNTÚA",SUM(Tabla156[[#This Row],[Puntos scratch]],Tabla156[[#This Row],[Puntos clase]]))</f>
        <v>6</v>
      </c>
      <c r="Q18" s="183">
        <f>IF(AND(G18="M",Tabla156[[#This Row],[POS]]&lt;&gt;"AB",Tabla156[[#This Row],[POS]]&lt;&gt;"DSQ"),COUNTIF($G$6:G18,"M"),"")</f>
        <v>12</v>
      </c>
      <c r="R18" s="183">
        <f>IF(G18="M",IF(Tabla156[[#This Row],[Tiempo]]="AB","",LOOKUP(Tabla156[[#This Row],[CLAS SCRATCH2]],'Datos puntos'!$A$2:$A$23,'Datos puntos'!$B$2:$B$23)),"")</f>
        <v>2</v>
      </c>
      <c r="S18" s="183">
        <f>IF(AND(G18="M",Tabla156[[#This Row],[POS]]&lt;&gt;"AB",Tabla156[[#This Row],[POS]]&lt;&gt;"DSQ"),COUNTIFS($J$6:J18,Tabla156[[#This Row],[Clase]],$G$6:G18,"M"),"")</f>
        <v>4</v>
      </c>
      <c r="T18" s="183">
        <f>IF(G18="M",IF(Tabla156[[#This Row],[Tiempo]]="AB","",LOOKUP(Tabla156[[#This Row],[CLAS CLASE2]],'Datos puntos'!$A$25:$A$53,'Datos puntos'!$B$25:$B$53)),"")</f>
        <v>5</v>
      </c>
      <c r="U18" s="183">
        <f>IF(Tabla156[[#This Row],[Puntos scratch3]]="","NO PUNTÚA",SUM(Tabla156[[#This Row],[Puntos scratch3]],Tabla156[[#This Row],[Puntos clase5]]))</f>
        <v>7</v>
      </c>
      <c r="W18" s="241">
        <v>1</v>
      </c>
      <c r="X18" s="251" t="s">
        <v>169</v>
      </c>
    </row>
    <row r="19" spans="1:24" x14ac:dyDescent="0.35">
      <c r="A19" s="186">
        <v>14</v>
      </c>
      <c r="B19" s="176">
        <v>22</v>
      </c>
      <c r="C19" s="248" t="s">
        <v>588</v>
      </c>
      <c r="D19" s="179" t="s">
        <v>607</v>
      </c>
      <c r="E19" s="179" t="s">
        <v>168</v>
      </c>
      <c r="F19" s="179" t="s">
        <v>608</v>
      </c>
      <c r="G19" s="179" t="s">
        <v>168</v>
      </c>
      <c r="H19" s="179" t="s">
        <v>314</v>
      </c>
      <c r="I19" s="180" t="s">
        <v>24</v>
      </c>
      <c r="J19" s="180">
        <v>3</v>
      </c>
      <c r="K19" s="181"/>
      <c r="L19" s="183">
        <f>IF(AND(E19="M",Tabla156[[#This Row],[POS]]&lt;&gt;"AB",Tabla156[[#This Row],[POS]]&lt;&gt;"DSQ"),COUNTIF($E$6:E19,"M"),"")</f>
        <v>14</v>
      </c>
      <c r="M19" s="183">
        <f>IF(E19="M",IF(Tabla156[[#This Row],[Tiempo]]="AB","",LOOKUP(Tabla156[[#This Row],[CLAS SCRATCH]],'Datos puntos'!$A$2:$A$23,'Datos puntos'!$B$2:$B$23)),"")</f>
        <v>0</v>
      </c>
      <c r="N19" s="183">
        <f>IF(AND(E19="M",Tabla156[[#This Row],[POS]]&lt;&gt;"AB",Tabla156[[#This Row],[POS]]&lt;&gt;"DSQ"),COUNTIFS($J$6:J19,Tabla156[[#This Row],[Clase]],$E$6:E19,"M"),"")</f>
        <v>5</v>
      </c>
      <c r="O19" s="183">
        <f>IF(E19="M",IF(Tabla156[[#This Row],[Tiempo]]="AB","",LOOKUP(Tabla156[[#This Row],[CLAS CLASE]],'Datos puntos'!$A$25:$A$53,'Datos puntos'!$B$25:$B$53)),"")</f>
        <v>3</v>
      </c>
      <c r="P19" s="183">
        <f>IF(Tabla156[[#This Row],[Puntos scratch]]="","NO PUNTÚA",SUM(Tabla156[[#This Row],[Puntos scratch]],Tabla156[[#This Row],[Puntos clase]]))</f>
        <v>3</v>
      </c>
      <c r="Q19" s="183">
        <f>IF(AND(G19="M",Tabla156[[#This Row],[POS]]&lt;&gt;"AB",Tabla156[[#This Row],[POS]]&lt;&gt;"DSQ"),COUNTIF($G$6:G19,"M"),"")</f>
        <v>13</v>
      </c>
      <c r="R19" s="183">
        <f>IF(G19="M",IF(Tabla156[[#This Row],[Tiempo]]="AB","",LOOKUP(Tabla156[[#This Row],[CLAS SCRATCH2]],'Datos puntos'!$A$2:$A$23,'Datos puntos'!$B$2:$B$23)),"")</f>
        <v>1</v>
      </c>
      <c r="S19" s="183">
        <f>IF(AND(G19="M",Tabla156[[#This Row],[POS]]&lt;&gt;"AB",Tabla156[[#This Row],[POS]]&lt;&gt;"DSQ"),COUNTIFS($J$6:J19,Tabla156[[#This Row],[Clase]],$G$6:G19,"M"),"")</f>
        <v>5</v>
      </c>
      <c r="T19" s="183">
        <f>IF(G19="M",IF(Tabla156[[#This Row],[Tiempo]]="AB","",LOOKUP(Tabla156[[#This Row],[CLAS CLASE2]],'Datos puntos'!$A$25:$A$53,'Datos puntos'!$B$25:$B$53)),"")</f>
        <v>3</v>
      </c>
      <c r="U19" s="183">
        <f>IF(Tabla156[[#This Row],[Puntos scratch3]]="","NO PUNTÚA",SUM(Tabla156[[#This Row],[Puntos scratch3]],Tabla156[[#This Row],[Puntos clase5]]))</f>
        <v>4</v>
      </c>
      <c r="X19" s="254" t="s">
        <v>588</v>
      </c>
    </row>
    <row r="20" spans="1:24" x14ac:dyDescent="0.35">
      <c r="A20" s="176">
        <v>15</v>
      </c>
      <c r="B20" s="176">
        <v>18</v>
      </c>
      <c r="C20" s="466" t="s">
        <v>588</v>
      </c>
      <c r="D20" s="179" t="s">
        <v>628</v>
      </c>
      <c r="E20" s="179" t="s">
        <v>168</v>
      </c>
      <c r="F20" s="179" t="s">
        <v>629</v>
      </c>
      <c r="G20" s="179" t="s">
        <v>168</v>
      </c>
      <c r="H20" s="179" t="s">
        <v>630</v>
      </c>
      <c r="I20" s="180" t="s">
        <v>24</v>
      </c>
      <c r="J20" s="180">
        <v>2</v>
      </c>
      <c r="K20" s="181"/>
      <c r="L20" s="183">
        <f>IF(AND(E20="M",Tabla156[[#This Row],[POS]]&lt;&gt;"AB",Tabla156[[#This Row],[POS]]&lt;&gt;"DSQ"),COUNTIF($E$6:E20,"M"),"")</f>
        <v>15</v>
      </c>
      <c r="M20" s="183">
        <f>IF(E20="M",IF(Tabla156[[#This Row],[Tiempo]]="AB","",LOOKUP(Tabla156[[#This Row],[CLAS SCRATCH]],'Datos puntos'!$A$2:$A$23,'Datos puntos'!$B$2:$B$23)),"")</f>
        <v>0</v>
      </c>
      <c r="N20" s="183">
        <f>IF(AND(E20="M",Tabla156[[#This Row],[POS]]&lt;&gt;"AB",Tabla156[[#This Row],[POS]]&lt;&gt;"DSQ"),COUNTIFS($J$6:J20,Tabla156[[#This Row],[Clase]],$E$6:E20,"M"),"")</f>
        <v>4</v>
      </c>
      <c r="O20" s="183">
        <f>IF(E20="M",IF(Tabla156[[#This Row],[Tiempo]]="AB","",LOOKUP(Tabla156[[#This Row],[CLAS CLASE]],'Datos puntos'!$A$25:$A$53,'Datos puntos'!$B$25:$B$53)),"")</f>
        <v>5</v>
      </c>
      <c r="P20" s="183">
        <f>IF(Tabla156[[#This Row],[Puntos scratch]]="","NO PUNTÚA",SUM(Tabla156[[#This Row],[Puntos scratch]],Tabla156[[#This Row],[Puntos clase]]))</f>
        <v>5</v>
      </c>
      <c r="Q20" s="183">
        <f>IF(AND(G20="M",Tabla156[[#This Row],[POS]]&lt;&gt;"AB",Tabla156[[#This Row],[POS]]&lt;&gt;"DSQ"),COUNTIF($G$6:G20,"M"),"")</f>
        <v>14</v>
      </c>
      <c r="R20" s="183">
        <f>IF(G20="M",IF(Tabla156[[#This Row],[Tiempo]]="AB","",LOOKUP(Tabla156[[#This Row],[CLAS SCRATCH2]],'Datos puntos'!$A$2:$A$23,'Datos puntos'!$B$2:$B$23)),"")</f>
        <v>0</v>
      </c>
      <c r="S20" s="183">
        <f>IF(AND(G20="M",Tabla156[[#This Row],[POS]]&lt;&gt;"AB",Tabla156[[#This Row],[POS]]&lt;&gt;"DSQ"),COUNTIFS($J$6:J20,Tabla156[[#This Row],[Clase]],$G$6:G20,"M"),"")</f>
        <v>4</v>
      </c>
      <c r="T20" s="183">
        <f>IF(G20="M",IF(Tabla156[[#This Row],[Tiempo]]="AB","",LOOKUP(Tabla156[[#This Row],[CLAS CLASE2]],'Datos puntos'!$A$25:$A$53,'Datos puntos'!$B$25:$B$53)),"")</f>
        <v>5</v>
      </c>
      <c r="U20" s="183">
        <f>IF(Tabla156[[#This Row],[Puntos scratch3]]="","NO PUNTÚA",SUM(Tabla156[[#This Row],[Puntos scratch3]],Tabla156[[#This Row],[Puntos clase5]]))</f>
        <v>5</v>
      </c>
      <c r="X20" s="492" t="s">
        <v>588</v>
      </c>
    </row>
    <row r="21" spans="1:24" x14ac:dyDescent="0.35">
      <c r="A21" s="176">
        <v>16</v>
      </c>
      <c r="B21" s="176">
        <v>34</v>
      </c>
      <c r="C21" s="248" t="s">
        <v>588</v>
      </c>
      <c r="D21" s="179" t="s">
        <v>676</v>
      </c>
      <c r="E21" s="179" t="s">
        <v>168</v>
      </c>
      <c r="F21" s="179" t="s">
        <v>677</v>
      </c>
      <c r="G21" s="179" t="s">
        <v>168</v>
      </c>
      <c r="H21" s="179" t="s">
        <v>176</v>
      </c>
      <c r="I21" s="180" t="s">
        <v>24</v>
      </c>
      <c r="J21" s="180">
        <v>4</v>
      </c>
      <c r="K21" s="181"/>
      <c r="L21" s="183">
        <f>IF(AND(E21="M",Tabla156[[#This Row],[POS]]&lt;&gt;"AB",Tabla156[[#This Row],[POS]]&lt;&gt;"DSQ"),COUNTIF($E$6:E21,"M"),"")</f>
        <v>16</v>
      </c>
      <c r="M21" s="183">
        <f>IF(E21="M",IF(Tabla156[[#This Row],[Tiempo]]="AB","",LOOKUP(Tabla156[[#This Row],[CLAS SCRATCH]],'Datos puntos'!$A$2:$A$23,'Datos puntos'!$B$2:$B$23)),"")</f>
        <v>0</v>
      </c>
      <c r="N21" s="183">
        <f>IF(AND(E21="M",Tabla156[[#This Row],[POS]]&lt;&gt;"AB",Tabla156[[#This Row],[POS]]&lt;&gt;"DSQ"),COUNTIFS($J$6:J21,Tabla156[[#This Row],[Clase]],$E$6:E21,"M"),"")</f>
        <v>3</v>
      </c>
      <c r="O21" s="183">
        <f>IF(E21="M",IF(Tabla156[[#This Row],[Tiempo]]="AB","",LOOKUP(Tabla156[[#This Row],[CLAS CLASE]],'Datos puntos'!$A$25:$A$53,'Datos puntos'!$B$25:$B$53)),"")</f>
        <v>6</v>
      </c>
      <c r="P21" s="183">
        <f>IF(Tabla156[[#This Row],[Puntos scratch]]="","NO PUNTÚA",SUM(Tabla156[[#This Row],[Puntos scratch]],Tabla156[[#This Row],[Puntos clase]]))</f>
        <v>6</v>
      </c>
      <c r="Q21" s="183">
        <f>IF(AND(G21="M",Tabla156[[#This Row],[POS]]&lt;&gt;"AB",Tabla156[[#This Row],[POS]]&lt;&gt;"DSQ"),COUNTIF($G$6:G21,"M"),"")</f>
        <v>15</v>
      </c>
      <c r="R21" s="183">
        <f>IF(G21="M",IF(Tabla156[[#This Row],[Tiempo]]="AB","",LOOKUP(Tabla156[[#This Row],[CLAS SCRATCH2]],'Datos puntos'!$A$2:$A$23,'Datos puntos'!$B$2:$B$23)),"")</f>
        <v>0</v>
      </c>
      <c r="S21" s="183">
        <f>IF(AND(G21="M",Tabla156[[#This Row],[POS]]&lt;&gt;"AB",Tabla156[[#This Row],[POS]]&lt;&gt;"DSQ"),COUNTIFS($J$6:J21,Tabla156[[#This Row],[Clase]],$G$6:G21,"M"),"")</f>
        <v>2</v>
      </c>
      <c r="T21" s="183">
        <f>IF(G21="M",IF(Tabla156[[#This Row],[Tiempo]]="AB","",LOOKUP(Tabla156[[#This Row],[CLAS CLASE2]],'Datos puntos'!$A$25:$A$53,'Datos puntos'!$B$25:$B$53)),"")</f>
        <v>8</v>
      </c>
      <c r="U21" s="183">
        <f>IF(Tabla156[[#This Row],[Puntos scratch3]]="","NO PUNTÚA",SUM(Tabla156[[#This Row],[Puntos scratch3]],Tabla156[[#This Row],[Puntos clase5]]))</f>
        <v>8</v>
      </c>
      <c r="X21" s="254" t="s">
        <v>588</v>
      </c>
    </row>
    <row r="22" spans="1:24" x14ac:dyDescent="0.35">
      <c r="A22" s="176">
        <v>17</v>
      </c>
      <c r="B22" s="176">
        <v>19</v>
      </c>
      <c r="C22" s="179" t="s">
        <v>236</v>
      </c>
      <c r="D22" s="179" t="s">
        <v>678</v>
      </c>
      <c r="E22" s="179" t="s">
        <v>168</v>
      </c>
      <c r="F22" s="179" t="s">
        <v>679</v>
      </c>
      <c r="G22" s="179" t="s">
        <v>168</v>
      </c>
      <c r="H22" s="179" t="s">
        <v>383</v>
      </c>
      <c r="I22" s="180" t="s">
        <v>200</v>
      </c>
      <c r="J22" s="180">
        <v>1</v>
      </c>
      <c r="K22" s="181"/>
      <c r="L22" s="183">
        <f>IF(AND(E22="M",Tabla156[[#This Row],[POS]]&lt;&gt;"AB",Tabla156[[#This Row],[POS]]&lt;&gt;"DSQ"),COUNTIF($E$6:E22,"M"),"")</f>
        <v>17</v>
      </c>
      <c r="M22" s="183">
        <f>IF(E22="M",IF(Tabla156[[#This Row],[Tiempo]]="AB","",LOOKUP(Tabla156[[#This Row],[CLAS SCRATCH]],'Datos puntos'!$A$2:$A$23,'Datos puntos'!$B$2:$B$23)),"")</f>
        <v>0</v>
      </c>
      <c r="N22" s="183">
        <f>IF(AND(E22="M",Tabla156[[#This Row],[POS]]&lt;&gt;"AB",Tabla156[[#This Row],[POS]]&lt;&gt;"DSQ"),COUNTIFS($J$6:J22,Tabla156[[#This Row],[Clase]],$E$6:E22,"M"),"")</f>
        <v>3</v>
      </c>
      <c r="O22" s="183">
        <f>IF(E22="M",IF(Tabla156[[#This Row],[Tiempo]]="AB","",LOOKUP(Tabla156[[#This Row],[CLAS CLASE]],'Datos puntos'!$A$25:$A$53,'Datos puntos'!$B$25:$B$53)),"")</f>
        <v>6</v>
      </c>
      <c r="P22" s="183">
        <f>IF(Tabla156[[#This Row],[Puntos scratch]]="","NO PUNTÚA",SUM(Tabla156[[#This Row],[Puntos scratch]],Tabla156[[#This Row],[Puntos clase]]))</f>
        <v>6</v>
      </c>
      <c r="Q22" s="183">
        <f>IF(AND(G22="M",Tabla156[[#This Row],[POS]]&lt;&gt;"AB",Tabla156[[#This Row],[POS]]&lt;&gt;"DSQ"),COUNTIF($G$6:G22,"M"),"")</f>
        <v>16</v>
      </c>
      <c r="R22" s="183">
        <f>IF(G22="M",IF(Tabla156[[#This Row],[Tiempo]]="AB","",LOOKUP(Tabla156[[#This Row],[CLAS SCRATCH2]],'Datos puntos'!$A$2:$A$23,'Datos puntos'!$B$2:$B$23)),"")</f>
        <v>0</v>
      </c>
      <c r="S22" s="183">
        <f>IF(AND(G22="M",Tabla156[[#This Row],[POS]]&lt;&gt;"AB",Tabla156[[#This Row],[POS]]&lt;&gt;"DSQ"),COUNTIFS($J$6:J22,Tabla156[[#This Row],[Clase]],$G$6:G22,"M"),"")</f>
        <v>3</v>
      </c>
      <c r="T22" s="183">
        <f>IF(G22="M",IF(Tabla156[[#This Row],[Tiempo]]="AB","",LOOKUP(Tabla156[[#This Row],[CLAS CLASE2]],'Datos puntos'!$A$25:$A$53,'Datos puntos'!$B$25:$B$53)),"")</f>
        <v>6</v>
      </c>
      <c r="U22" s="183">
        <f>IF(Tabla156[[#This Row],[Puntos scratch3]]="","NO PUNTÚA",SUM(Tabla156[[#This Row],[Puntos scratch3]],Tabla156[[#This Row],[Puntos clase5]]))</f>
        <v>6</v>
      </c>
      <c r="X22" s="254" t="s">
        <v>588</v>
      </c>
    </row>
    <row r="23" spans="1:24" x14ac:dyDescent="0.35">
      <c r="A23" s="186">
        <v>18</v>
      </c>
      <c r="B23" s="176">
        <v>15</v>
      </c>
      <c r="C23" s="248" t="s">
        <v>588</v>
      </c>
      <c r="D23" s="179" t="s">
        <v>319</v>
      </c>
      <c r="E23" s="179" t="s">
        <v>168</v>
      </c>
      <c r="F23" s="179" t="s">
        <v>613</v>
      </c>
      <c r="G23" s="179" t="s">
        <v>168</v>
      </c>
      <c r="H23" s="179" t="s">
        <v>614</v>
      </c>
      <c r="I23" s="180" t="s">
        <v>24</v>
      </c>
      <c r="J23" s="180">
        <v>3</v>
      </c>
      <c r="K23" s="181"/>
      <c r="L23" s="183">
        <f>IF(AND(E23="M",Tabla156[[#This Row],[POS]]&lt;&gt;"AB",Tabla156[[#This Row],[POS]]&lt;&gt;"DSQ"),COUNTIF($E$6:E23,"M"),"")</f>
        <v>18</v>
      </c>
      <c r="M23" s="183">
        <f>IF(E23="M",IF(Tabla156[[#This Row],[Tiempo]]="AB","",LOOKUP(Tabla156[[#This Row],[CLAS SCRATCH]],'Datos puntos'!$A$2:$A$23,'Datos puntos'!$B$2:$B$23)),"")</f>
        <v>0</v>
      </c>
      <c r="N23" s="183">
        <f>IF(AND(E23="M",Tabla156[[#This Row],[POS]]&lt;&gt;"AB",Tabla156[[#This Row],[POS]]&lt;&gt;"DSQ"),COUNTIFS($J$6:J23,Tabla156[[#This Row],[Clase]],$E$6:E23,"M"),"")</f>
        <v>6</v>
      </c>
      <c r="O23" s="183">
        <f>IF(E23="M",IF(Tabla156[[#This Row],[Tiempo]]="AB","",LOOKUP(Tabla156[[#This Row],[CLAS CLASE]],'Datos puntos'!$A$25:$A$53,'Datos puntos'!$B$25:$B$53)),"")</f>
        <v>1</v>
      </c>
      <c r="P23" s="183">
        <f>IF(Tabla156[[#This Row],[Puntos scratch]]="","NO PUNTÚA",SUM(Tabla156[[#This Row],[Puntos scratch]],Tabla156[[#This Row],[Puntos clase]]))</f>
        <v>1</v>
      </c>
      <c r="Q23" s="183">
        <f>IF(AND(G23="M",Tabla156[[#This Row],[POS]]&lt;&gt;"AB",Tabla156[[#This Row],[POS]]&lt;&gt;"DSQ"),COUNTIF($G$6:G23,"M"),"")</f>
        <v>17</v>
      </c>
      <c r="R23" s="183">
        <f>IF(G23="M",IF(Tabla156[[#This Row],[Tiempo]]="AB","",LOOKUP(Tabla156[[#This Row],[CLAS SCRATCH2]],'Datos puntos'!$A$2:$A$23,'Datos puntos'!$B$2:$B$23)),"")</f>
        <v>0</v>
      </c>
      <c r="S23" s="183">
        <f>IF(AND(G23="M",Tabla156[[#This Row],[POS]]&lt;&gt;"AB",Tabla156[[#This Row],[POS]]&lt;&gt;"DSQ"),COUNTIFS($J$6:J23,Tabla156[[#This Row],[Clase]],$G$6:G23,"M"),"")</f>
        <v>6</v>
      </c>
      <c r="T23" s="183">
        <f>IF(G23="M",IF(Tabla156[[#This Row],[Tiempo]]="AB","",LOOKUP(Tabla156[[#This Row],[CLAS CLASE2]],'Datos puntos'!$A$25:$A$53,'Datos puntos'!$B$25:$B$53)),"")</f>
        <v>1</v>
      </c>
      <c r="U23" s="183">
        <f>IF(Tabla156[[#This Row],[Puntos scratch3]]="","NO PUNTÚA",SUM(Tabla156[[#This Row],[Puntos scratch3]],Tabla156[[#This Row],[Puntos clase5]]))</f>
        <v>1</v>
      </c>
      <c r="X23" s="254" t="s">
        <v>588</v>
      </c>
    </row>
    <row r="24" spans="1:24" x14ac:dyDescent="0.35">
      <c r="A24" s="176">
        <v>19</v>
      </c>
      <c r="B24" s="176">
        <v>36</v>
      </c>
      <c r="C24" s="179" t="s">
        <v>236</v>
      </c>
      <c r="D24" s="179" t="s">
        <v>683</v>
      </c>
      <c r="E24" s="179" t="s">
        <v>168</v>
      </c>
      <c r="F24" s="179" t="s">
        <v>684</v>
      </c>
      <c r="G24" s="179" t="s">
        <v>168</v>
      </c>
      <c r="H24" s="179" t="s">
        <v>685</v>
      </c>
      <c r="I24" s="180" t="s">
        <v>24</v>
      </c>
      <c r="J24" s="180">
        <v>4</v>
      </c>
      <c r="K24" s="181"/>
      <c r="L24" s="183">
        <f>IF(AND(E24="M",Tabla156[[#This Row],[POS]]&lt;&gt;"AB",Tabla156[[#This Row],[POS]]&lt;&gt;"DSQ"),COUNTIF($E$6:E24,"M"),"")</f>
        <v>19</v>
      </c>
      <c r="M24" s="183">
        <f>IF(E24="M",IF(Tabla156[[#This Row],[Tiempo]]="AB","",LOOKUP(Tabla156[[#This Row],[CLAS SCRATCH]],'Datos puntos'!$A$2:$A$23,'Datos puntos'!$B$2:$B$23)),"")</f>
        <v>0</v>
      </c>
      <c r="N24" s="183">
        <f>IF(AND(E24="M",Tabla156[[#This Row],[POS]]&lt;&gt;"AB",Tabla156[[#This Row],[POS]]&lt;&gt;"DSQ"),COUNTIFS($J$6:J24,Tabla156[[#This Row],[Clase]],$E$6:E24,"M"),"")</f>
        <v>4</v>
      </c>
      <c r="O24" s="183">
        <f>IF(E24="M",IF(Tabla156[[#This Row],[Tiempo]]="AB","",LOOKUP(Tabla156[[#This Row],[CLAS CLASE]],'Datos puntos'!$A$25:$A$53,'Datos puntos'!$B$25:$B$53)),"")</f>
        <v>5</v>
      </c>
      <c r="P24" s="183">
        <f>IF(Tabla156[[#This Row],[Puntos scratch]]="","NO PUNTÚA",SUM(Tabla156[[#This Row],[Puntos scratch]],Tabla156[[#This Row],[Puntos clase]]))</f>
        <v>5</v>
      </c>
      <c r="Q24" s="183">
        <f>IF(AND(G24="M",Tabla156[[#This Row],[POS]]&lt;&gt;"AB",Tabla156[[#This Row],[POS]]&lt;&gt;"DSQ"),COUNTIF($G$6:G24,"M"),"")</f>
        <v>18</v>
      </c>
      <c r="R24" s="183">
        <f>IF(G24="M",IF(Tabla156[[#This Row],[Tiempo]]="AB","",LOOKUP(Tabla156[[#This Row],[CLAS SCRATCH2]],'Datos puntos'!$A$2:$A$23,'Datos puntos'!$B$2:$B$23)),"")</f>
        <v>0</v>
      </c>
      <c r="S24" s="183">
        <f>IF(AND(G24="M",Tabla156[[#This Row],[POS]]&lt;&gt;"AB",Tabla156[[#This Row],[POS]]&lt;&gt;"DSQ"),COUNTIFS($J$6:J24,Tabla156[[#This Row],[Clase]],$G$6:G24,"M"),"")</f>
        <v>3</v>
      </c>
      <c r="T24" s="183">
        <f>IF(G24="M",IF(Tabla156[[#This Row],[Tiempo]]="AB","",LOOKUP(Tabla156[[#This Row],[CLAS CLASE2]],'Datos puntos'!$A$25:$A$53,'Datos puntos'!$B$25:$B$53)),"")</f>
        <v>6</v>
      </c>
      <c r="U24" s="183">
        <f>IF(Tabla156[[#This Row],[Puntos scratch3]]="","NO PUNTÚA",SUM(Tabla156[[#This Row],[Puntos scratch3]],Tabla156[[#This Row],[Puntos clase5]]))</f>
        <v>6</v>
      </c>
      <c r="X24" s="279" t="s">
        <v>171</v>
      </c>
    </row>
    <row r="25" spans="1:24" x14ac:dyDescent="0.35">
      <c r="A25" s="176" t="s">
        <v>179</v>
      </c>
      <c r="B25" s="176">
        <v>8</v>
      </c>
      <c r="C25" s="248" t="s">
        <v>588</v>
      </c>
      <c r="D25" s="179" t="s">
        <v>174</v>
      </c>
      <c r="E25" s="179" t="s">
        <v>168</v>
      </c>
      <c r="F25" s="179" t="s">
        <v>589</v>
      </c>
      <c r="G25" s="179" t="s">
        <v>168</v>
      </c>
      <c r="H25" s="179" t="s">
        <v>294</v>
      </c>
      <c r="I25" s="180" t="s">
        <v>200</v>
      </c>
      <c r="J25" s="180">
        <v>1</v>
      </c>
      <c r="K25" s="181" t="s">
        <v>179</v>
      </c>
      <c r="L25" s="183" t="str">
        <f>IF(AND(E25="M",Tabla156[[#This Row],[POS]]&lt;&gt;"AB",Tabla156[[#This Row],[POS]]&lt;&gt;"DSQ"),COUNTIF($E$6:E25,"M"),"")</f>
        <v/>
      </c>
      <c r="M25" s="183" t="str">
        <f>IF(E25="M",IF(Tabla156[[#This Row],[Tiempo]]="AB","",LOOKUP(Tabla156[[#This Row],[CLAS SCRATCH]],'Datos puntos'!$A$2:$A$23,'Datos puntos'!$B$2:$B$23)),"")</f>
        <v/>
      </c>
      <c r="N25" s="183" t="str">
        <f>IF(AND(E25="M",Tabla156[[#This Row],[POS]]&lt;&gt;"AB",Tabla156[[#This Row],[POS]]&lt;&gt;"DSQ"),COUNTIFS($J$6:J25,Tabla156[[#This Row],[Clase]],$E$6:E25,"M"),"")</f>
        <v/>
      </c>
      <c r="O25" s="183" t="str">
        <f>IF(E25="M",IF(Tabla156[[#This Row],[Tiempo]]="AB","",LOOKUP(Tabla156[[#This Row],[CLAS CLASE]],'Datos puntos'!$A$25:$A$53,'Datos puntos'!$B$25:$B$53)),"")</f>
        <v/>
      </c>
      <c r="P25" s="183" t="str">
        <f>IF(Tabla156[[#This Row],[Puntos scratch]]="","NO PUNTÚA",SUM(Tabla156[[#This Row],[Puntos scratch]],Tabla156[[#This Row],[Puntos clase]]))</f>
        <v>NO PUNTÚA</v>
      </c>
      <c r="Q25" s="183" t="str">
        <f>IF(AND(G25="M",Tabla156[[#This Row],[POS]]&lt;&gt;"AB",Tabla156[[#This Row],[POS]]&lt;&gt;"DSQ"),COUNTIF($G$6:G25,"M"),"")</f>
        <v/>
      </c>
      <c r="R25" s="183" t="str">
        <f>IF(G25="M",IF(Tabla156[[#This Row],[Tiempo]]="AB","",LOOKUP(Tabla156[[#This Row],[CLAS SCRATCH2]],'Datos puntos'!$A$2:$A$23,'Datos puntos'!$B$2:$B$23)),"")</f>
        <v/>
      </c>
      <c r="S25" s="183" t="str">
        <f>IF(AND(G25="M",Tabla156[[#This Row],[POS]]&lt;&gt;"AB",Tabla156[[#This Row],[POS]]&lt;&gt;"DSQ"),COUNTIFS($J$6:J25,Tabla156[[#This Row],[Clase]],$G$6:G25,"M"),"")</f>
        <v/>
      </c>
      <c r="T25" s="183" t="str">
        <f>IF(G25="M",IF(Tabla156[[#This Row],[Tiempo]]="AB","",LOOKUP(Tabla156[[#This Row],[CLAS CLASE2]],'Datos puntos'!$A$25:$A$53,'Datos puntos'!$B$25:$B$53)),"")</f>
        <v/>
      </c>
      <c r="U25" s="183" t="str">
        <f>IF(Tabla156[[#This Row],[Puntos scratch3]]="","NO PUNTÚA",SUM(Tabla156[[#This Row],[Puntos scratch3]],Tabla156[[#This Row],[Puntos clase5]]))</f>
        <v>NO PUNTÚA</v>
      </c>
      <c r="X25" s="511" t="s">
        <v>304</v>
      </c>
    </row>
    <row r="26" spans="1:24" x14ac:dyDescent="0.35">
      <c r="A26" s="176" t="s">
        <v>179</v>
      </c>
      <c r="B26" s="176">
        <v>12</v>
      </c>
      <c r="C26" s="463" t="s">
        <v>171</v>
      </c>
      <c r="D26" s="179" t="s">
        <v>593</v>
      </c>
      <c r="E26" s="179" t="s">
        <v>168</v>
      </c>
      <c r="F26" s="179" t="s">
        <v>700</v>
      </c>
      <c r="G26" s="179" t="s">
        <v>168</v>
      </c>
      <c r="H26" s="179" t="s">
        <v>279</v>
      </c>
      <c r="I26" s="180" t="s">
        <v>24</v>
      </c>
      <c r="J26" s="180">
        <v>3</v>
      </c>
      <c r="K26" s="181" t="s">
        <v>179</v>
      </c>
      <c r="L26" s="183" t="str">
        <f>IF(AND(E26="M",Tabla156[[#This Row],[POS]]&lt;&gt;"AB",Tabla156[[#This Row],[POS]]&lt;&gt;"DSQ"),COUNTIF($E$6:E26,"M"),"")</f>
        <v/>
      </c>
      <c r="M26" s="183" t="str">
        <f>IF(E26="M",IF(Tabla156[[#This Row],[Tiempo]]="AB","",LOOKUP(Tabla156[[#This Row],[CLAS SCRATCH]],'Datos puntos'!$A$2:$A$23,'Datos puntos'!$B$2:$B$23)),"")</f>
        <v/>
      </c>
      <c r="N26" s="183" t="str">
        <f>IF(AND(E26="M",Tabla156[[#This Row],[POS]]&lt;&gt;"AB",Tabla156[[#This Row],[POS]]&lt;&gt;"DSQ"),COUNTIFS($J$6:J26,Tabla156[[#This Row],[Clase]],$E$6:E26,"M"),"")</f>
        <v/>
      </c>
      <c r="O26" s="183" t="str">
        <f>IF(E26="M",IF(Tabla156[[#This Row],[Tiempo]]="AB","",LOOKUP(Tabla156[[#This Row],[CLAS CLASE]],'Datos puntos'!$A$25:$A$53,'Datos puntos'!$B$25:$B$53)),"")</f>
        <v/>
      </c>
      <c r="P26" s="183" t="str">
        <f>IF(Tabla156[[#This Row],[Puntos scratch]]="","NO PUNTÚA",SUM(Tabla156[[#This Row],[Puntos scratch]],Tabla156[[#This Row],[Puntos clase]]))</f>
        <v>NO PUNTÚA</v>
      </c>
      <c r="Q26" s="183" t="str">
        <f>IF(AND(G26="M",Tabla156[[#This Row],[POS]]&lt;&gt;"AB",Tabla156[[#This Row],[POS]]&lt;&gt;"DSQ"),COUNTIF($G$6:G26,"M"),"")</f>
        <v/>
      </c>
      <c r="R26" s="183" t="str">
        <f>IF(G26="M",IF(Tabla156[[#This Row],[Tiempo]]="AB","",LOOKUP(Tabla156[[#This Row],[CLAS SCRATCH2]],'Datos puntos'!$A$2:$A$23,'Datos puntos'!$B$2:$B$23)),"")</f>
        <v/>
      </c>
      <c r="S26" s="183" t="str">
        <f>IF(AND(G26="M",Tabla156[[#This Row],[POS]]&lt;&gt;"AB",Tabla156[[#This Row],[POS]]&lt;&gt;"DSQ"),COUNTIFS($J$6:J26,Tabla156[[#This Row],[Clase]],$G$6:G26,"M"),"")</f>
        <v/>
      </c>
      <c r="T26" s="183" t="str">
        <f>IF(G26="M",IF(Tabla156[[#This Row],[Tiempo]]="AB","",LOOKUP(Tabla156[[#This Row],[CLAS CLASE2]],'Datos puntos'!$A$25:$A$53,'Datos puntos'!$B$25:$B$53)),"")</f>
        <v/>
      </c>
      <c r="U26" s="183" t="str">
        <f>IF(Tabla156[[#This Row],[Puntos scratch3]]="","NO PUNTÚA",SUM(Tabla156[[#This Row],[Puntos scratch3]],Tabla156[[#This Row],[Puntos clase5]]))</f>
        <v>NO PUNTÚA</v>
      </c>
      <c r="X26" s="252" t="s">
        <v>172</v>
      </c>
    </row>
    <row r="27" spans="1:24" x14ac:dyDescent="0.35">
      <c r="A27" s="176" t="s">
        <v>179</v>
      </c>
      <c r="B27" s="176">
        <v>14</v>
      </c>
      <c r="C27" s="268" t="s">
        <v>591</v>
      </c>
      <c r="D27" s="179" t="s">
        <v>604</v>
      </c>
      <c r="E27" s="179" t="s">
        <v>168</v>
      </c>
      <c r="F27" s="179" t="s">
        <v>605</v>
      </c>
      <c r="G27" s="179" t="s">
        <v>168</v>
      </c>
      <c r="H27" s="179" t="s">
        <v>201</v>
      </c>
      <c r="I27" s="180" t="s">
        <v>24</v>
      </c>
      <c r="J27" s="180">
        <v>3</v>
      </c>
      <c r="K27" s="181" t="s">
        <v>179</v>
      </c>
      <c r="L27" s="183" t="str">
        <f>IF(AND(E27="M",Tabla156[[#This Row],[POS]]&lt;&gt;"AB",Tabla156[[#This Row],[POS]]&lt;&gt;"DSQ"),COUNTIF($E$6:E27,"M"),"")</f>
        <v/>
      </c>
      <c r="M27" s="183" t="str">
        <f>IF(E27="M",IF(Tabla156[[#This Row],[Tiempo]]="AB","",LOOKUP(Tabla156[[#This Row],[CLAS SCRATCH]],'Datos puntos'!$A$2:$A$23,'Datos puntos'!$B$2:$B$23)),"")</f>
        <v/>
      </c>
      <c r="N27" s="183" t="str">
        <f>IF(AND(E27="M",Tabla156[[#This Row],[POS]]&lt;&gt;"AB",Tabla156[[#This Row],[POS]]&lt;&gt;"DSQ"),COUNTIFS($J$6:J27,Tabla156[[#This Row],[Clase]],$E$6:E27,"M"),"")</f>
        <v/>
      </c>
      <c r="O27" s="183" t="str">
        <f>IF(E27="M",IF(Tabla156[[#This Row],[Tiempo]]="AB","",LOOKUP(Tabla156[[#This Row],[CLAS CLASE]],'Datos puntos'!$A$25:$A$53,'Datos puntos'!$B$25:$B$53)),"")</f>
        <v/>
      </c>
      <c r="P27" s="183" t="str">
        <f>IF(Tabla156[[#This Row],[Puntos scratch]]="","NO PUNTÚA",SUM(Tabla156[[#This Row],[Puntos scratch]],Tabla156[[#This Row],[Puntos clase]]))</f>
        <v>NO PUNTÚA</v>
      </c>
      <c r="Q27" s="183" t="str">
        <f>IF(AND(G27="M",Tabla156[[#This Row],[POS]]&lt;&gt;"AB",Tabla156[[#This Row],[POS]]&lt;&gt;"DSQ"),COUNTIF($G$6:G27,"M"),"")</f>
        <v/>
      </c>
      <c r="R27" s="183" t="str">
        <f>IF(G27="M",IF(Tabla156[[#This Row],[Tiempo]]="AB","",LOOKUP(Tabla156[[#This Row],[CLAS SCRATCH2]],'Datos puntos'!$A$2:$A$23,'Datos puntos'!$B$2:$B$23)),"")</f>
        <v/>
      </c>
      <c r="S27" s="183" t="str">
        <f>IF(AND(G27="M",Tabla156[[#This Row],[POS]]&lt;&gt;"AB",Tabla156[[#This Row],[POS]]&lt;&gt;"DSQ"),COUNTIFS($J$6:J27,Tabla156[[#This Row],[Clase]],$G$6:G27,"M"),"")</f>
        <v/>
      </c>
      <c r="T27" s="183" t="str">
        <f>IF(G27="M",IF(Tabla156[[#This Row],[Tiempo]]="AB","",LOOKUP(Tabla156[[#This Row],[CLAS CLASE2]],'Datos puntos'!$A$25:$A$53,'Datos puntos'!$B$25:$B$53)),"")</f>
        <v/>
      </c>
      <c r="U27" s="183" t="str">
        <f>IF(Tabla156[[#This Row],[Puntos scratch3]]="","NO PUNTÚA",SUM(Tabla156[[#This Row],[Puntos scratch3]],Tabla156[[#This Row],[Puntos clase5]]))</f>
        <v>NO PUNTÚA</v>
      </c>
      <c r="X27" s="254" t="s">
        <v>588</v>
      </c>
    </row>
    <row r="28" spans="1:24" x14ac:dyDescent="0.35">
      <c r="A28" s="176" t="s">
        <v>179</v>
      </c>
      <c r="B28" s="176">
        <v>17</v>
      </c>
      <c r="C28" s="179" t="s">
        <v>236</v>
      </c>
      <c r="D28" s="179" t="s">
        <v>410</v>
      </c>
      <c r="E28" s="179" t="s">
        <v>168</v>
      </c>
      <c r="F28" s="179" t="s">
        <v>701</v>
      </c>
      <c r="G28" s="179" t="s">
        <v>168</v>
      </c>
      <c r="H28" s="179" t="s">
        <v>420</v>
      </c>
      <c r="I28" s="180" t="s">
        <v>24</v>
      </c>
      <c r="J28" s="180">
        <v>3</v>
      </c>
      <c r="K28" s="181" t="s">
        <v>179</v>
      </c>
      <c r="L28" s="183" t="str">
        <f>IF(AND(E28="M",Tabla156[[#This Row],[POS]]&lt;&gt;"AB",Tabla156[[#This Row],[POS]]&lt;&gt;"DSQ"),COUNTIF($E$6:E28,"M"),"")</f>
        <v/>
      </c>
      <c r="M28" s="183" t="str">
        <f>IF(E28="M",IF(Tabla156[[#This Row],[Tiempo]]="AB","",LOOKUP(Tabla156[[#This Row],[CLAS SCRATCH]],'Datos puntos'!$A$2:$A$23,'Datos puntos'!$B$2:$B$23)),"")</f>
        <v/>
      </c>
      <c r="N28" s="183" t="str">
        <f>IF(AND(E28="M",Tabla156[[#This Row],[POS]]&lt;&gt;"AB",Tabla156[[#This Row],[POS]]&lt;&gt;"DSQ"),COUNTIFS($J$6:J28,Tabla156[[#This Row],[Clase]],$E$6:E28,"M"),"")</f>
        <v/>
      </c>
      <c r="O28" s="183" t="str">
        <f>IF(E28="M",IF(Tabla156[[#This Row],[Tiempo]]="AB","",LOOKUP(Tabla156[[#This Row],[CLAS CLASE]],'Datos puntos'!$A$25:$A$53,'Datos puntos'!$B$25:$B$53)),"")</f>
        <v/>
      </c>
      <c r="P28" s="183" t="str">
        <f>IF(Tabla156[[#This Row],[Puntos scratch]]="","NO PUNTÚA",SUM(Tabla156[[#This Row],[Puntos scratch]],Tabla156[[#This Row],[Puntos clase]]))</f>
        <v>NO PUNTÚA</v>
      </c>
      <c r="Q28" s="183" t="str">
        <f>IF(AND(G28="M",Tabla156[[#This Row],[POS]]&lt;&gt;"AB",Tabla156[[#This Row],[POS]]&lt;&gt;"DSQ"),COUNTIF($G$6:G28,"M"),"")</f>
        <v/>
      </c>
      <c r="R28" s="183" t="str">
        <f>IF(G28="M",IF(Tabla156[[#This Row],[Tiempo]]="AB","",LOOKUP(Tabla156[[#This Row],[CLAS SCRATCH2]],'Datos puntos'!$A$2:$A$23,'Datos puntos'!$B$2:$B$23)),"")</f>
        <v/>
      </c>
      <c r="S28" s="183" t="str">
        <f>IF(AND(G28="M",Tabla156[[#This Row],[POS]]&lt;&gt;"AB",Tabla156[[#This Row],[POS]]&lt;&gt;"DSQ"),COUNTIFS($J$6:J28,Tabla156[[#This Row],[Clase]],$G$6:G28,"M"),"")</f>
        <v/>
      </c>
      <c r="T28" s="183" t="str">
        <f>IF(G28="M",IF(Tabla156[[#This Row],[Tiempo]]="AB","",LOOKUP(Tabla156[[#This Row],[CLAS CLASE2]],'Datos puntos'!$A$25:$A$53,'Datos puntos'!$B$25:$B$53)),"")</f>
        <v/>
      </c>
      <c r="U28" s="183" t="str">
        <f>IF(Tabla156[[#This Row],[Puntos scratch3]]="","NO PUNTÚA",SUM(Tabla156[[#This Row],[Puntos scratch3]],Tabla156[[#This Row],[Puntos clase5]]))</f>
        <v>NO PUNTÚA</v>
      </c>
      <c r="X28" s="254" t="s">
        <v>588</v>
      </c>
    </row>
    <row r="29" spans="1:24" x14ac:dyDescent="0.35">
      <c r="A29" s="176" t="s">
        <v>179</v>
      </c>
      <c r="B29" s="176">
        <v>25</v>
      </c>
      <c r="C29" s="505" t="s">
        <v>304</v>
      </c>
      <c r="D29" s="179" t="s">
        <v>680</v>
      </c>
      <c r="E29" s="179" t="s">
        <v>168</v>
      </c>
      <c r="F29" s="179" t="s">
        <v>681</v>
      </c>
      <c r="G29" s="179" t="s">
        <v>168</v>
      </c>
      <c r="H29" s="179" t="s">
        <v>682</v>
      </c>
      <c r="I29" s="180" t="s">
        <v>24</v>
      </c>
      <c r="J29" s="180">
        <v>3</v>
      </c>
      <c r="K29" s="181" t="s">
        <v>179</v>
      </c>
      <c r="L29" s="183" t="str">
        <f>IF(AND(E29="M",Tabla156[[#This Row],[POS]]&lt;&gt;"AB",Tabla156[[#This Row],[POS]]&lt;&gt;"DSQ"),COUNTIF($E$6:E29,"M"),"")</f>
        <v/>
      </c>
      <c r="M29" s="183" t="str">
        <f>IF(E29="M",IF(Tabla156[[#This Row],[Tiempo]]="AB","",LOOKUP(Tabla156[[#This Row],[CLAS SCRATCH]],'Datos puntos'!$A$2:$A$23,'Datos puntos'!$B$2:$B$23)),"")</f>
        <v/>
      </c>
      <c r="N29" s="183" t="str">
        <f>IF(AND(E29="M",Tabla156[[#This Row],[POS]]&lt;&gt;"AB",Tabla156[[#This Row],[POS]]&lt;&gt;"DSQ"),COUNTIFS($J$6:J29,Tabla156[[#This Row],[Clase]],$E$6:E29,"M"),"")</f>
        <v/>
      </c>
      <c r="O29" s="183" t="str">
        <f>IF(E29="M",IF(Tabla156[[#This Row],[Tiempo]]="AB","",LOOKUP(Tabla156[[#This Row],[CLAS CLASE]],'Datos puntos'!$A$25:$A$53,'Datos puntos'!$B$25:$B$53)),"")</f>
        <v/>
      </c>
      <c r="P29" s="183" t="str">
        <f>IF(Tabla156[[#This Row],[Puntos scratch]]="","NO PUNTÚA",SUM(Tabla156[[#This Row],[Puntos scratch]],Tabla156[[#This Row],[Puntos clase]]))</f>
        <v>NO PUNTÚA</v>
      </c>
      <c r="Q29" s="183" t="str">
        <f>IF(AND(G29="M",Tabla156[[#This Row],[POS]]&lt;&gt;"AB",Tabla156[[#This Row],[POS]]&lt;&gt;"DSQ"),COUNTIF($G$6:G29,"M"),"")</f>
        <v/>
      </c>
      <c r="R29" s="183" t="str">
        <f>IF(G29="M",IF(Tabla156[[#This Row],[Tiempo]]="AB","",LOOKUP(Tabla156[[#This Row],[CLAS SCRATCH2]],'Datos puntos'!$A$2:$A$23,'Datos puntos'!$B$2:$B$23)),"")</f>
        <v/>
      </c>
      <c r="S29" s="183" t="str">
        <f>IF(AND(G29="M",Tabla156[[#This Row],[POS]]&lt;&gt;"AB",Tabla156[[#This Row],[POS]]&lt;&gt;"DSQ"),COUNTIFS($J$6:J29,Tabla156[[#This Row],[Clase]],$G$6:G29,"M"),"")</f>
        <v/>
      </c>
      <c r="T29" s="183" t="str">
        <f>IF(G29="M",IF(Tabla156[[#This Row],[Tiempo]]="AB","",LOOKUP(Tabla156[[#This Row],[CLAS CLASE2]],'Datos puntos'!$A$25:$A$53,'Datos puntos'!$B$25:$B$53)),"")</f>
        <v/>
      </c>
      <c r="U29" s="183" t="str">
        <f>IF(Tabla156[[#This Row],[Puntos scratch3]]="","NO PUNTÚA",SUM(Tabla156[[#This Row],[Puntos scratch3]],Tabla156[[#This Row],[Puntos clase5]]))</f>
        <v>NO PUNTÚA</v>
      </c>
      <c r="X29" s="268"/>
    </row>
    <row r="30" spans="1:24" x14ac:dyDescent="0.35">
      <c r="A30" s="176" t="s">
        <v>179</v>
      </c>
      <c r="B30" s="176">
        <v>27</v>
      </c>
      <c r="C30" s="245" t="s">
        <v>172</v>
      </c>
      <c r="D30" s="179" t="s">
        <v>702</v>
      </c>
      <c r="E30" s="179" t="s">
        <v>168</v>
      </c>
      <c r="F30" s="179" t="s">
        <v>276</v>
      </c>
      <c r="G30" s="179" t="s">
        <v>168</v>
      </c>
      <c r="H30" s="179" t="s">
        <v>675</v>
      </c>
      <c r="I30" s="180" t="s">
        <v>24</v>
      </c>
      <c r="J30" s="180">
        <v>3</v>
      </c>
      <c r="K30" s="181" t="s">
        <v>179</v>
      </c>
      <c r="L30" s="183" t="str">
        <f>IF(AND(E30="M",Tabla156[[#This Row],[POS]]&lt;&gt;"AB",Tabla156[[#This Row],[POS]]&lt;&gt;"DSQ"),COUNTIF($E$6:E30,"M"),"")</f>
        <v/>
      </c>
      <c r="M30" s="183" t="str">
        <f>IF(E30="M",IF(Tabla156[[#This Row],[Tiempo]]="AB","",LOOKUP(Tabla156[[#This Row],[CLAS SCRATCH]],'Datos puntos'!$A$2:$A$23,'Datos puntos'!$B$2:$B$23)),"")</f>
        <v/>
      </c>
      <c r="N30" s="183" t="str">
        <f>IF(AND(E30="M",Tabla156[[#This Row],[POS]]&lt;&gt;"AB",Tabla156[[#This Row],[POS]]&lt;&gt;"DSQ"),COUNTIFS($J$6:J30,Tabla156[[#This Row],[Clase]],$E$6:E30,"M"),"")</f>
        <v/>
      </c>
      <c r="O30" s="183" t="str">
        <f>IF(E30="M",IF(Tabla156[[#This Row],[Tiempo]]="AB","",LOOKUP(Tabla156[[#This Row],[CLAS CLASE]],'Datos puntos'!$A$25:$A$53,'Datos puntos'!$B$25:$B$53)),"")</f>
        <v/>
      </c>
      <c r="P30" s="183" t="str">
        <f>IF(Tabla156[[#This Row],[Puntos scratch]]="","NO PUNTÚA",SUM(Tabla156[[#This Row],[Puntos scratch]],Tabla156[[#This Row],[Puntos clase]]))</f>
        <v>NO PUNTÚA</v>
      </c>
      <c r="Q30" s="183" t="str">
        <f>IF(AND(G30="M",Tabla156[[#This Row],[POS]]&lt;&gt;"AB",Tabla156[[#This Row],[POS]]&lt;&gt;"DSQ"),COUNTIF($G$6:G30,"M"),"")</f>
        <v/>
      </c>
      <c r="R30" s="183" t="str">
        <f>IF(G30="M",IF(Tabla156[[#This Row],[Tiempo]]="AB","",LOOKUP(Tabla156[[#This Row],[CLAS SCRATCH2]],'Datos puntos'!$A$2:$A$23,'Datos puntos'!$B$2:$B$23)),"")</f>
        <v/>
      </c>
      <c r="S30" s="183" t="str">
        <f>IF(AND(G30="M",Tabla156[[#This Row],[POS]]&lt;&gt;"AB",Tabla156[[#This Row],[POS]]&lt;&gt;"DSQ"),COUNTIFS($J$6:J30,Tabla156[[#This Row],[Clase]],$G$6:G30,"M"),"")</f>
        <v/>
      </c>
      <c r="T30" s="183" t="str">
        <f>IF(G30="M",IF(Tabla156[[#This Row],[Tiempo]]="AB","",LOOKUP(Tabla156[[#This Row],[CLAS CLASE2]],'Datos puntos'!$A$25:$A$53,'Datos puntos'!$B$25:$B$53)),"")</f>
        <v/>
      </c>
      <c r="U30" s="183" t="str">
        <f>IF(Tabla156[[#This Row],[Puntos scratch3]]="","NO PUNTÚA",SUM(Tabla156[[#This Row],[Puntos scratch3]],Tabla156[[#This Row],[Puntos clase5]]))</f>
        <v>NO PUNTÚA</v>
      </c>
      <c r="X30" s="268"/>
    </row>
    <row r="31" spans="1:24" x14ac:dyDescent="0.35">
      <c r="A31" s="176" t="s">
        <v>179</v>
      </c>
      <c r="B31" s="176">
        <v>28</v>
      </c>
      <c r="C31" s="248" t="s">
        <v>588</v>
      </c>
      <c r="D31" s="179" t="s">
        <v>674</v>
      </c>
      <c r="E31" s="179" t="s">
        <v>168</v>
      </c>
      <c r="F31" s="179" t="s">
        <v>703</v>
      </c>
      <c r="G31" s="179" t="s">
        <v>168</v>
      </c>
      <c r="H31" s="179" t="s">
        <v>675</v>
      </c>
      <c r="I31" s="180" t="s">
        <v>24</v>
      </c>
      <c r="J31" s="180">
        <v>2</v>
      </c>
      <c r="K31" s="181" t="s">
        <v>179</v>
      </c>
      <c r="L31" s="183" t="str">
        <f>IF(AND(E31="M",Tabla156[[#This Row],[POS]]&lt;&gt;"AB",Tabla156[[#This Row],[POS]]&lt;&gt;"DSQ"),COUNTIF($E$6:E31,"M"),"")</f>
        <v/>
      </c>
      <c r="M31" s="183" t="str">
        <f>IF(E31="M",IF(Tabla156[[#This Row],[Tiempo]]="AB","",LOOKUP(Tabla156[[#This Row],[CLAS SCRATCH]],'Datos puntos'!$A$2:$A$23,'Datos puntos'!$B$2:$B$23)),"")</f>
        <v/>
      </c>
      <c r="N31" s="183" t="str">
        <f>IF(AND(E31="M",Tabla156[[#This Row],[POS]]&lt;&gt;"AB",Tabla156[[#This Row],[POS]]&lt;&gt;"DSQ"),COUNTIFS($J$6:J31,Tabla156[[#This Row],[Clase]],$E$6:E31,"M"),"")</f>
        <v/>
      </c>
      <c r="O31" s="183" t="str">
        <f>IF(E31="M",IF(Tabla156[[#This Row],[Tiempo]]="AB","",LOOKUP(Tabla156[[#This Row],[CLAS CLASE]],'Datos puntos'!$A$25:$A$53,'Datos puntos'!$B$25:$B$53)),"")</f>
        <v/>
      </c>
      <c r="P31" s="183" t="str">
        <f>IF(Tabla156[[#This Row],[Puntos scratch]]="","NO PUNTÚA",SUM(Tabla156[[#This Row],[Puntos scratch]],Tabla156[[#This Row],[Puntos clase]]))</f>
        <v>NO PUNTÚA</v>
      </c>
      <c r="Q31" s="183" t="str">
        <f>IF(AND(G31="M",Tabla156[[#This Row],[POS]]&lt;&gt;"AB",Tabla156[[#This Row],[POS]]&lt;&gt;"DSQ"),COUNTIF($G$6:G31,"M"),"")</f>
        <v/>
      </c>
      <c r="R31" s="183" t="str">
        <f>IF(G31="M",IF(Tabla156[[#This Row],[Tiempo]]="AB","",LOOKUP(Tabla156[[#This Row],[CLAS SCRATCH2]],'Datos puntos'!$A$2:$A$23,'Datos puntos'!$B$2:$B$23)),"")</f>
        <v/>
      </c>
      <c r="S31" s="183" t="str">
        <f>IF(AND(G31="M",Tabla156[[#This Row],[POS]]&lt;&gt;"AB",Tabla156[[#This Row],[POS]]&lt;&gt;"DSQ"),COUNTIFS($J$6:J31,Tabla156[[#This Row],[Clase]],$G$6:G31,"M"),"")</f>
        <v/>
      </c>
      <c r="T31" s="183" t="str">
        <f>IF(G31="M",IF(Tabla156[[#This Row],[Tiempo]]="AB","",LOOKUP(Tabla156[[#This Row],[CLAS CLASE2]],'Datos puntos'!$A$25:$A$53,'Datos puntos'!$B$25:$B$53)),"")</f>
        <v/>
      </c>
      <c r="U31" s="183" t="str">
        <f>IF(Tabla156[[#This Row],[Puntos scratch3]]="","NO PUNTÚA",SUM(Tabla156[[#This Row],[Puntos scratch3]],Tabla156[[#This Row],[Puntos clase5]]))</f>
        <v>NO PUNTÚA</v>
      </c>
    </row>
    <row r="32" spans="1:24" x14ac:dyDescent="0.35">
      <c r="A32" s="176" t="s">
        <v>179</v>
      </c>
      <c r="B32" s="176">
        <v>35</v>
      </c>
      <c r="C32" s="248" t="s">
        <v>588</v>
      </c>
      <c r="D32" s="179" t="s">
        <v>238</v>
      </c>
      <c r="E32" s="179" t="s">
        <v>168</v>
      </c>
      <c r="F32" s="179" t="s">
        <v>458</v>
      </c>
      <c r="G32" s="179" t="s">
        <v>168</v>
      </c>
      <c r="H32" s="179" t="s">
        <v>176</v>
      </c>
      <c r="I32" s="180" t="s">
        <v>200</v>
      </c>
      <c r="J32" s="180">
        <v>4</v>
      </c>
      <c r="K32" s="181" t="s">
        <v>179</v>
      </c>
      <c r="L32" s="183" t="str">
        <f>IF(AND(E32="M",Tabla156[[#This Row],[POS]]&lt;&gt;"AB",Tabla156[[#This Row],[POS]]&lt;&gt;"DSQ"),COUNTIF($E$6:E32,"M"),"")</f>
        <v/>
      </c>
      <c r="M32" s="183" t="str">
        <f>IF(E32="M",IF(Tabla156[[#This Row],[Tiempo]]="AB","",LOOKUP(Tabla156[[#This Row],[CLAS SCRATCH]],'Datos puntos'!$A$2:$A$23,'Datos puntos'!$B$2:$B$23)),"")</f>
        <v/>
      </c>
      <c r="N32" s="183" t="str">
        <f>IF(AND(E32="M",Tabla156[[#This Row],[POS]]&lt;&gt;"AB",Tabla156[[#This Row],[POS]]&lt;&gt;"DSQ"),COUNTIFS($J$6:J32,Tabla156[[#This Row],[Clase]],$E$6:E32,"M"),"")</f>
        <v/>
      </c>
      <c r="O32" s="183" t="str">
        <f>IF(E32="M",IF(Tabla156[[#This Row],[Tiempo]]="AB","",LOOKUP(Tabla156[[#This Row],[CLAS CLASE]],'Datos puntos'!$A$25:$A$53,'Datos puntos'!$B$25:$B$53)),"")</f>
        <v/>
      </c>
      <c r="P32" s="183" t="str">
        <f>IF(Tabla156[[#This Row],[Puntos scratch]]="","NO PUNTÚA",SUM(Tabla156[[#This Row],[Puntos scratch]],Tabla156[[#This Row],[Puntos clase]]))</f>
        <v>NO PUNTÚA</v>
      </c>
      <c r="Q32" s="183" t="str">
        <f>IF(AND(G32="M",Tabla156[[#This Row],[POS]]&lt;&gt;"AB",Tabla156[[#This Row],[POS]]&lt;&gt;"DSQ"),COUNTIF($G$6:G32,"M"),"")</f>
        <v/>
      </c>
      <c r="R32" s="183" t="str">
        <f>IF(G32="M",IF(Tabla156[[#This Row],[Tiempo]]="AB","",LOOKUP(Tabla156[[#This Row],[CLAS SCRATCH2]],'Datos puntos'!$A$2:$A$23,'Datos puntos'!$B$2:$B$23)),"")</f>
        <v/>
      </c>
      <c r="S32" s="183" t="str">
        <f>IF(AND(G32="M",Tabla156[[#This Row],[POS]]&lt;&gt;"AB",Tabla156[[#This Row],[POS]]&lt;&gt;"DSQ"),COUNTIFS($J$6:J32,Tabla156[[#This Row],[Clase]],$G$6:G32,"M"),"")</f>
        <v/>
      </c>
      <c r="T32" s="183" t="str">
        <f>IF(G32="M",IF(Tabla156[[#This Row],[Tiempo]]="AB","",LOOKUP(Tabla156[[#This Row],[CLAS CLASE2]],'Datos puntos'!$A$25:$A$53,'Datos puntos'!$B$25:$B$53)),"")</f>
        <v/>
      </c>
      <c r="U32" s="183" t="str">
        <f>IF(Tabla156[[#This Row],[Puntos scratch3]]="","NO PUNTÚA",SUM(Tabla156[[#This Row],[Puntos scratch3]],Tabla156[[#This Row],[Puntos clase5]]))</f>
        <v>NO PUNTÚA</v>
      </c>
    </row>
    <row r="33" spans="1:24" x14ac:dyDescent="0.35">
      <c r="A33" s="176" t="s">
        <v>179</v>
      </c>
      <c r="B33" s="176">
        <v>23</v>
      </c>
      <c r="C33" s="179" t="s">
        <v>591</v>
      </c>
      <c r="D33" s="179" t="s">
        <v>671</v>
      </c>
      <c r="E33" s="179" t="s">
        <v>168</v>
      </c>
      <c r="F33" s="179" t="s">
        <v>672</v>
      </c>
      <c r="G33" s="179" t="s">
        <v>168</v>
      </c>
      <c r="H33" s="179" t="s">
        <v>314</v>
      </c>
      <c r="I33" s="180" t="s">
        <v>24</v>
      </c>
      <c r="J33" s="180">
        <v>3</v>
      </c>
      <c r="K33" s="181" t="s">
        <v>179</v>
      </c>
      <c r="L33" s="183" t="str">
        <f>IF(AND(E33="M",Tabla156[[#This Row],[POS]]&lt;&gt;"AB",Tabla156[[#This Row],[POS]]&lt;&gt;"DSQ"),COUNTIF($E$6:E33,"M"),"")</f>
        <v/>
      </c>
      <c r="M33" s="183" t="str">
        <f>IF(E33="M",IF(Tabla156[[#This Row],[Tiempo]]="AB","",LOOKUP(Tabla156[[#This Row],[CLAS SCRATCH]],'Datos puntos'!$A$2:$A$23,'Datos puntos'!$B$2:$B$23)),"")</f>
        <v/>
      </c>
      <c r="N33" s="183" t="str">
        <f>IF(AND(E33="M",Tabla156[[#This Row],[POS]]&lt;&gt;"AB",Tabla156[[#This Row],[POS]]&lt;&gt;"DSQ"),COUNTIFS($J$6:J33,Tabla156[[#This Row],[Clase]],$E$6:E33,"M"),"")</f>
        <v/>
      </c>
      <c r="O33" s="183" t="str">
        <f>IF(E33="M",IF(Tabla156[[#This Row],[Tiempo]]="AB","",LOOKUP(Tabla156[[#This Row],[CLAS CLASE]],'Datos puntos'!$A$25:$A$53,'Datos puntos'!$B$25:$B$53)),"")</f>
        <v/>
      </c>
      <c r="P33" s="183" t="str">
        <f>IF(Tabla156[[#This Row],[Puntos scratch]]="","NO PUNTÚA",SUM(Tabla156[[#This Row],[Puntos scratch]],Tabla156[[#This Row],[Puntos clase]]))</f>
        <v>NO PUNTÚA</v>
      </c>
      <c r="Q33" s="183" t="str">
        <f>IF(AND(G33="M",Tabla156[[#This Row],[POS]]&lt;&gt;"AB",Tabla156[[#This Row],[POS]]&lt;&gt;"DSQ"),COUNTIF($G$6:G33,"M"),"")</f>
        <v/>
      </c>
      <c r="R33" s="183" t="str">
        <f>IF(G33="M",IF(Tabla156[[#This Row],[Tiempo]]="AB","",LOOKUP(Tabla156[[#This Row],[CLAS SCRATCH2]],'Datos puntos'!$A$2:$A$23,'Datos puntos'!$B$2:$B$23)),"")</f>
        <v/>
      </c>
      <c r="S33" s="183" t="str">
        <f>IF(AND(G33="M",Tabla156[[#This Row],[POS]]&lt;&gt;"AB",Tabla156[[#This Row],[POS]]&lt;&gt;"DSQ"),COUNTIFS($J$6:J33,Tabla156[[#This Row],[Clase]],$G$6:G33,"M"),"")</f>
        <v/>
      </c>
      <c r="T33" s="183" t="str">
        <f>IF(G33="M",IF(Tabla156[[#This Row],[Tiempo]]="AB","",LOOKUP(Tabla156[[#This Row],[CLAS CLASE2]],'Datos puntos'!$A$25:$A$53,'Datos puntos'!$B$25:$B$53)),"")</f>
        <v/>
      </c>
      <c r="U33" s="183" t="str">
        <f>IF(Tabla156[[#This Row],[Puntos scratch3]]="","NO PUNTÚA",SUM(Tabla156[[#This Row],[Puntos scratch3]],Tabla156[[#This Row],[Puntos clase5]]))</f>
        <v>NO PUNTÚA</v>
      </c>
    </row>
    <row r="34" spans="1:24" x14ac:dyDescent="0.35">
      <c r="A34" s="176"/>
      <c r="B34" s="176"/>
      <c r="C34" s="246"/>
      <c r="D34" s="179"/>
      <c r="E34" s="179"/>
      <c r="F34" s="179"/>
      <c r="G34" s="179"/>
      <c r="H34" s="179"/>
      <c r="I34" s="180"/>
      <c r="J34" s="180"/>
      <c r="K34" s="181"/>
      <c r="L34" s="183" t="str">
        <f>IF(AND(E34="M",Tabla156[[#This Row],[POS]]&lt;&gt;"AB",Tabla156[[#This Row],[POS]]&lt;&gt;"DSQ"),COUNTIF($E$6:E34,"M"),"")</f>
        <v/>
      </c>
      <c r="M34" s="183" t="str">
        <f>IF(E34="M",IF(Tabla156[[#This Row],[Tiempo]]="AB","",LOOKUP(Tabla156[[#This Row],[CLAS SCRATCH]],'Datos puntos'!$A$2:$A$23,'Datos puntos'!$B$2:$B$23)),"")</f>
        <v/>
      </c>
      <c r="N34" s="183" t="str">
        <f>IF(AND(E34="M",Tabla156[[#This Row],[POS]]&lt;&gt;"AB",Tabla156[[#This Row],[POS]]&lt;&gt;"DSQ"),COUNTIFS($J$6:J34,Tabla156[[#This Row],[Clase]],$E$6:E34,"M"),"")</f>
        <v/>
      </c>
      <c r="O34" s="183" t="str">
        <f>IF(E34="M",IF(Tabla156[[#This Row],[Tiempo]]="AB","",LOOKUP(Tabla156[[#This Row],[CLAS CLASE]],'Datos puntos'!$A$25:$A$53,'Datos puntos'!$B$25:$B$53)),"")</f>
        <v/>
      </c>
      <c r="P34" s="183" t="str">
        <f>IF(Tabla156[[#This Row],[Puntos scratch]]="","NO PUNTÚA",SUM(Tabla156[[#This Row],[Puntos scratch]],Tabla156[[#This Row],[Puntos clase]]))</f>
        <v>NO PUNTÚA</v>
      </c>
      <c r="Q34" s="183" t="str">
        <f>IF(AND(G34="M",Tabla156[[#This Row],[POS]]&lt;&gt;"AB",Tabla156[[#This Row],[POS]]&lt;&gt;"DSQ"),COUNTIF($G$6:G34,"M"),"")</f>
        <v/>
      </c>
      <c r="R34" s="183" t="str">
        <f>IF(G34="M",IF(Tabla156[[#This Row],[Tiempo]]="AB","",LOOKUP(Tabla156[[#This Row],[CLAS SCRATCH2]],'Datos puntos'!$A$2:$A$23,'Datos puntos'!$B$2:$B$23)),"")</f>
        <v/>
      </c>
      <c r="S34" s="183" t="str">
        <f>IF(AND(G34="M",Tabla156[[#This Row],[POS]]&lt;&gt;"AB",Tabla156[[#This Row],[POS]]&lt;&gt;"DSQ"),COUNTIFS($J$6:J34,Tabla156[[#This Row],[Clase]],$G$6:G34,"M"),"")</f>
        <v/>
      </c>
      <c r="T34" s="183" t="str">
        <f>IF(G34="M",IF(Tabla156[[#This Row],[Tiempo]]="AB","",LOOKUP(Tabla156[[#This Row],[CLAS CLASE2]],'Datos puntos'!$A$25:$A$53,'Datos puntos'!$B$25:$B$53)),"")</f>
        <v/>
      </c>
      <c r="U34" s="183" t="str">
        <f>IF(Tabla156[[#This Row],[Puntos scratch3]]="","NO PUNTÚA",SUM(Tabla156[[#This Row],[Puntos scratch3]],Tabla156[[#This Row],[Puntos clase5]]))</f>
        <v>NO PUNTÚA</v>
      </c>
    </row>
    <row r="35" spans="1:24" x14ac:dyDescent="0.35">
      <c r="A35" s="176"/>
      <c r="B35" s="176"/>
      <c r="C35" s="490"/>
      <c r="D35" s="179"/>
      <c r="E35" s="179"/>
      <c r="F35" s="179"/>
      <c r="G35" s="179"/>
      <c r="H35" s="179"/>
      <c r="I35" s="180"/>
      <c r="J35" s="180"/>
      <c r="K35" s="181"/>
      <c r="L35" s="183" t="str">
        <f>IF(AND(E35="M",Tabla156[[#This Row],[POS]]&lt;&gt;"AB",Tabla156[[#This Row],[POS]]&lt;&gt;"DSQ"),COUNTIF($E$6:E35,"M"),"")</f>
        <v/>
      </c>
      <c r="M35" s="183" t="str">
        <f>IF(E35="M",IF(Tabla156[[#This Row],[Tiempo]]="AB","",LOOKUP(Tabla156[[#This Row],[CLAS SCRATCH]],'Datos puntos'!$A$2:$A$23,'Datos puntos'!$B$2:$B$23)),"")</f>
        <v/>
      </c>
      <c r="N35" s="183" t="str">
        <f>IF(AND(E35="M",Tabla156[[#This Row],[POS]]&lt;&gt;"AB",Tabla156[[#This Row],[POS]]&lt;&gt;"DSQ"),COUNTIFS($J$6:J35,Tabla156[[#This Row],[Clase]],$E$6:E35,"M"),"")</f>
        <v/>
      </c>
      <c r="O35" s="183" t="str">
        <f>IF(E35="M",IF(Tabla156[[#This Row],[Tiempo]]="AB","",LOOKUP(Tabla156[[#This Row],[CLAS CLASE]],'Datos puntos'!$A$25:$A$53,'Datos puntos'!$B$25:$B$53)),"")</f>
        <v/>
      </c>
      <c r="P35" s="183" t="str">
        <f>IF(Tabla156[[#This Row],[Puntos scratch]]="","NO PUNTÚA",SUM(Tabla156[[#This Row],[Puntos scratch]],Tabla156[[#This Row],[Puntos clase]]))</f>
        <v>NO PUNTÚA</v>
      </c>
      <c r="Q35" s="183" t="str">
        <f>IF(AND(G35="M",Tabla156[[#This Row],[POS]]&lt;&gt;"AB",Tabla156[[#This Row],[POS]]&lt;&gt;"DSQ"),COUNTIF($G$6:G35,"M"),"")</f>
        <v/>
      </c>
      <c r="R35" s="183" t="str">
        <f>IF(G35="M",IF(Tabla156[[#This Row],[Tiempo]]="AB","",LOOKUP(Tabla156[[#This Row],[CLAS SCRATCH2]],'Datos puntos'!$A$2:$A$23,'Datos puntos'!$B$2:$B$23)),"")</f>
        <v/>
      </c>
      <c r="S35" s="183" t="str">
        <f>IF(AND(G35="M",Tabla156[[#This Row],[POS]]&lt;&gt;"AB",Tabla156[[#This Row],[POS]]&lt;&gt;"DSQ"),COUNTIFS($J$6:J35,Tabla156[[#This Row],[Clase]],$G$6:G35,"M"),"")</f>
        <v/>
      </c>
      <c r="T35" s="183" t="str">
        <f>IF(G35="M",IF(Tabla156[[#This Row],[Tiempo]]="AB","",LOOKUP(Tabla156[[#This Row],[CLAS CLASE2]],'Datos puntos'!$A$25:$A$53,'Datos puntos'!$B$25:$B$53)),"")</f>
        <v/>
      </c>
      <c r="U35" s="183" t="str">
        <f>IF(Tabla156[[#This Row],[Puntos scratch3]]="","NO PUNTÚA",SUM(Tabla156[[#This Row],[Puntos scratch3]],Tabla156[[#This Row],[Puntos clase5]]))</f>
        <v>NO PUNTÚA</v>
      </c>
    </row>
    <row r="36" spans="1:24" x14ac:dyDescent="0.35">
      <c r="A36" s="176"/>
      <c r="B36" s="176"/>
      <c r="C36" s="467"/>
      <c r="D36" s="179"/>
      <c r="E36" s="468"/>
      <c r="F36" s="179"/>
      <c r="G36" s="179"/>
      <c r="H36" s="179"/>
      <c r="I36" s="180"/>
      <c r="J36" s="180"/>
      <c r="K36" s="181"/>
      <c r="L36" s="183" t="str">
        <f>IF(AND(E36="M",Tabla156[[#This Row],[POS]]&lt;&gt;"AB",Tabla156[[#This Row],[POS]]&lt;&gt;"DSQ"),COUNTIF($E$6:E36,"M"),"")</f>
        <v/>
      </c>
      <c r="M36" s="183" t="str">
        <f>IF(E36="M",IF(Tabla156[[#This Row],[Tiempo]]="AB","",LOOKUP(Tabla156[[#This Row],[CLAS SCRATCH]],'Datos puntos'!$A$2:$A$23,'Datos puntos'!$B$2:$B$23)),"")</f>
        <v/>
      </c>
      <c r="N36" s="183" t="str">
        <f>IF(AND(E36="M",Tabla156[[#This Row],[POS]]&lt;&gt;"AB",Tabla156[[#This Row],[POS]]&lt;&gt;"DSQ"),COUNTIFS($J$6:J36,Tabla156[[#This Row],[Clase]],$E$6:E36,"M"),"")</f>
        <v/>
      </c>
      <c r="O36" s="183" t="str">
        <f>IF(E36="M",IF(Tabla156[[#This Row],[Tiempo]]="AB","",LOOKUP(Tabla156[[#This Row],[CLAS CLASE]],'Datos puntos'!$A$25:$A$53,'Datos puntos'!$B$25:$B$53)),"")</f>
        <v/>
      </c>
      <c r="P36" s="183" t="str">
        <f>IF(Tabla156[[#This Row],[Puntos scratch]]="","NO PUNTÚA",SUM(Tabla156[[#This Row],[Puntos scratch]],Tabla156[[#This Row],[Puntos clase]]))</f>
        <v>NO PUNTÚA</v>
      </c>
      <c r="Q36" s="183" t="str">
        <f>IF(AND(G36="M",Tabla156[[#This Row],[POS]]&lt;&gt;"AB",Tabla156[[#This Row],[POS]]&lt;&gt;"DSQ"),COUNTIF($G$6:G36,"M"),"")</f>
        <v/>
      </c>
      <c r="R36" s="183" t="str">
        <f>IF(G36="M",IF(Tabla156[[#This Row],[Tiempo]]="AB","",LOOKUP(Tabla156[[#This Row],[CLAS SCRATCH2]],'Datos puntos'!$A$2:$A$23,'Datos puntos'!$B$2:$B$23)),"")</f>
        <v/>
      </c>
      <c r="S36" s="183" t="str">
        <f>IF(AND(G36="M",Tabla156[[#This Row],[POS]]&lt;&gt;"AB",Tabla156[[#This Row],[POS]]&lt;&gt;"DSQ"),COUNTIFS($J$6:J36,Tabla156[[#This Row],[Clase]],$G$6:G36,"M"),"")</f>
        <v/>
      </c>
      <c r="T36" s="183" t="str">
        <f>IF(G36="M",IF(Tabla156[[#This Row],[Tiempo]]="AB","",LOOKUP(Tabla156[[#This Row],[CLAS CLASE2]],'Datos puntos'!$A$25:$A$53,'Datos puntos'!$B$25:$B$53)),"")</f>
        <v/>
      </c>
      <c r="U36" s="183" t="str">
        <f>IF(Tabla156[[#This Row],[Puntos scratch3]]="","NO PUNTÚA",SUM(Tabla156[[#This Row],[Puntos scratch3]],Tabla156[[#This Row],[Puntos clase5]]))</f>
        <v>NO PUNTÚA</v>
      </c>
    </row>
    <row r="37" spans="1:24" x14ac:dyDescent="0.35">
      <c r="A37" s="176"/>
      <c r="B37" s="176"/>
      <c r="C37" s="179"/>
      <c r="D37" s="179"/>
      <c r="E37" s="179"/>
      <c r="F37" s="179"/>
      <c r="G37" s="179"/>
      <c r="H37" s="179"/>
      <c r="I37" s="180"/>
      <c r="J37" s="180"/>
      <c r="K37" s="181"/>
      <c r="L37" s="182"/>
      <c r="M37" s="182"/>
      <c r="N37" s="182"/>
      <c r="O37" s="183"/>
      <c r="P37" s="183"/>
      <c r="Q37" s="183"/>
      <c r="R37" s="183"/>
      <c r="S37" s="183"/>
      <c r="T37" s="183"/>
      <c r="U37" s="183"/>
      <c r="V37" s="183"/>
      <c r="W37" s="183"/>
      <c r="X37" s="183"/>
    </row>
    <row r="38" spans="1:24" x14ac:dyDescent="0.35">
      <c r="A38" s="176"/>
      <c r="B38" s="176"/>
      <c r="C38" s="179"/>
      <c r="D38" s="179"/>
      <c r="E38" s="179"/>
      <c r="F38" s="179"/>
      <c r="G38" s="179"/>
      <c r="H38" s="179"/>
      <c r="I38" s="180"/>
      <c r="J38" s="180"/>
      <c r="K38" s="181"/>
      <c r="L38" s="182"/>
      <c r="M38" s="182"/>
      <c r="N38" s="182"/>
      <c r="O38" s="183"/>
      <c r="P38" s="183"/>
      <c r="Q38" s="183"/>
      <c r="R38" s="183"/>
      <c r="S38" s="183"/>
      <c r="T38" s="183"/>
      <c r="U38" s="183"/>
      <c r="V38" s="183"/>
      <c r="W38" s="183"/>
      <c r="X38" s="183"/>
    </row>
    <row r="39" spans="1:24" ht="15.5" x14ac:dyDescent="0.35">
      <c r="A39" s="174" t="s">
        <v>186</v>
      </c>
      <c r="B39" s="174"/>
      <c r="C39" s="174"/>
      <c r="D39" s="174"/>
      <c r="E39" s="174"/>
      <c r="F39" s="174"/>
      <c r="G39" s="174"/>
      <c r="H39" s="174"/>
      <c r="I39" s="174"/>
      <c r="J39" s="174"/>
      <c r="K39" s="174"/>
      <c r="L39" s="175"/>
      <c r="M39" s="175"/>
      <c r="N39" s="174" t="s">
        <v>1</v>
      </c>
      <c r="P39" s="199"/>
      <c r="Q39" s="199"/>
      <c r="R39" s="199"/>
      <c r="S39" s="202" t="s">
        <v>166</v>
      </c>
      <c r="U39" s="199"/>
      <c r="W39" s="199"/>
      <c r="X39" s="199"/>
    </row>
    <row r="40" spans="1:24" s="216" customFormat="1" x14ac:dyDescent="0.35">
      <c r="A40" s="213" t="s">
        <v>190</v>
      </c>
      <c r="B40" s="186" t="s">
        <v>191</v>
      </c>
      <c r="C40" s="186" t="s">
        <v>192</v>
      </c>
      <c r="D40" s="186" t="s">
        <v>193</v>
      </c>
      <c r="E40" s="186" t="s">
        <v>194</v>
      </c>
      <c r="F40" s="186" t="s">
        <v>195</v>
      </c>
      <c r="G40" s="186" t="s">
        <v>196</v>
      </c>
      <c r="H40" s="186" t="s">
        <v>197</v>
      </c>
      <c r="I40" s="186" t="s">
        <v>198</v>
      </c>
      <c r="J40" s="186" t="s">
        <v>2</v>
      </c>
      <c r="K40" s="213" t="s">
        <v>199</v>
      </c>
      <c r="L40" s="207" t="s">
        <v>214</v>
      </c>
      <c r="M40" s="208" t="s">
        <v>217</v>
      </c>
      <c r="N40" s="208" t="s">
        <v>254</v>
      </c>
      <c r="O40" s="208" t="s">
        <v>218</v>
      </c>
      <c r="P40" s="208" t="s">
        <v>219</v>
      </c>
      <c r="Q40" s="209" t="s">
        <v>228</v>
      </c>
      <c r="R40" s="209" t="s">
        <v>229</v>
      </c>
      <c r="S40" s="209" t="s">
        <v>255</v>
      </c>
      <c r="T40" s="209" t="s">
        <v>230</v>
      </c>
      <c r="U40" s="209" t="s">
        <v>231</v>
      </c>
    </row>
    <row r="41" spans="1:24" x14ac:dyDescent="0.35">
      <c r="A41" s="193">
        <v>1</v>
      </c>
      <c r="B41" s="193">
        <v>4</v>
      </c>
      <c r="C41" s="469" t="s">
        <v>169</v>
      </c>
      <c r="D41" s="194" t="s">
        <v>570</v>
      </c>
      <c r="E41" s="194" t="s">
        <v>168</v>
      </c>
      <c r="F41" s="194" t="s">
        <v>572</v>
      </c>
      <c r="G41" s="194" t="s">
        <v>168</v>
      </c>
      <c r="H41" s="194" t="s">
        <v>326</v>
      </c>
      <c r="I41" s="195" t="s">
        <v>186</v>
      </c>
      <c r="J41" s="195">
        <v>6</v>
      </c>
      <c r="K41" s="187"/>
      <c r="L41" s="183">
        <f>IF(AND(E41="M",Tabla329[[#This Row],[POS]]&lt;&gt;"AB",Tabla329[[#This Row],[POS]]&lt;&gt;"DSQ"),COUNTIF($E$41:E41,"M"),"")</f>
        <v>1</v>
      </c>
      <c r="M41" s="183">
        <f>IF(E41="M",IF(Tabla329[[#This Row],[Tiempo]]="AB","",LOOKUP(Tabla329[[#This Row],[CLAS SCRATCH]],'Datos puntos'!$A$2:$A$23,'Datos puntos'!$B$2:$B$23)),"")</f>
        <v>25</v>
      </c>
      <c r="N41" s="183">
        <f>Tabla329[[#This Row],[CLAS SCRATCH]]</f>
        <v>1</v>
      </c>
      <c r="O41" s="183">
        <f>IF(E41="M",IF(Tabla329[[#This Row],[Tiempo]]="AB","",LOOKUP(Tabla329[[#This Row],[CLAS CLASE]],'Datos puntos'!$A$25:$A$53,'Datos puntos'!$B$25:$B$53)),"")</f>
        <v>10</v>
      </c>
      <c r="P41" s="183">
        <f>IF(Tabla329[[#This Row],[Puntos scratch]]="","NO PUNTÚA",SUM(Tabla329[[#This Row],[Puntos scratch]],Tabla329[[#This Row],[Puntos clase]]))</f>
        <v>35</v>
      </c>
      <c r="Q41" s="183">
        <f>IF(AND(G41="M",Tabla329[[#This Row],[POS]]&lt;&gt;"AB",Tabla329[[#This Row],[POS]]&lt;&gt;"DSQ"),COUNTIF($G$41:G41,"M"),"")</f>
        <v>1</v>
      </c>
      <c r="R41" s="183">
        <f>IF(G41="M",IF(Tabla329[[#This Row],[Tiempo]]="AB","",LOOKUP(Tabla329[[#This Row],[CLAS SCRATCH2]],'Datos puntos'!$A$2:$A$23,'Datos puntos'!$B$2:$B$23)),"")</f>
        <v>25</v>
      </c>
      <c r="S41" s="183">
        <f>Tabla329[[#This Row],[CLAS SCRATCH2]]</f>
        <v>1</v>
      </c>
      <c r="T41" s="183">
        <f>IF(G41="M",IF(Tabla329[[#This Row],[Tiempo]]="AB","",LOOKUP(Tabla329[[#This Row],[CLAS CLASE2]],'Datos puntos'!$A$25:$A$53,'Datos puntos'!$B$25:$B$53)),"")</f>
        <v>10</v>
      </c>
      <c r="U41" s="183">
        <f>IF(Tabla329[[#This Row],[Puntos scratch3]]="","NO PUNTÚA",SUM(Tabla329[[#This Row],[Puntos scratch3]],Tabla329[[#This Row],[Puntos clase5]]))</f>
        <v>35</v>
      </c>
    </row>
    <row r="42" spans="1:24" x14ac:dyDescent="0.35">
      <c r="A42" s="193">
        <v>2</v>
      </c>
      <c r="B42" s="193">
        <v>10</v>
      </c>
      <c r="C42" s="244" t="s">
        <v>567</v>
      </c>
      <c r="D42" s="194" t="s">
        <v>687</v>
      </c>
      <c r="E42" s="194" t="s">
        <v>168</v>
      </c>
      <c r="F42" s="194" t="s">
        <v>688</v>
      </c>
      <c r="G42" s="194" t="s">
        <v>168</v>
      </c>
      <c r="H42" s="194" t="s">
        <v>326</v>
      </c>
      <c r="I42" s="195" t="s">
        <v>186</v>
      </c>
      <c r="J42" s="195">
        <v>6</v>
      </c>
      <c r="K42" s="187"/>
      <c r="L42" s="183">
        <f>IF(AND(E42="M",Tabla329[[#This Row],[POS]]&lt;&gt;"AB",Tabla329[[#This Row],[POS]]&lt;&gt;"DSQ"),COUNTIF($E$41:E42,"M"),"")</f>
        <v>2</v>
      </c>
      <c r="M42" s="183">
        <f>IF(E42="M",IF(Tabla329[[#This Row],[Tiempo]]="AB","",LOOKUP(Tabla329[[#This Row],[CLAS SCRATCH]],'Datos puntos'!$A$2:$A$23,'Datos puntos'!$B$2:$B$23)),"")</f>
        <v>20</v>
      </c>
      <c r="N42" s="183">
        <f>Tabla329[[#This Row],[CLAS SCRATCH]]</f>
        <v>2</v>
      </c>
      <c r="O42" s="183">
        <f>IF(E42="M",IF(Tabla329[[#This Row],[Tiempo]]="AB","",LOOKUP(Tabla329[[#This Row],[CLAS CLASE]],'Datos puntos'!$A$25:$A$53,'Datos puntos'!$B$25:$B$53)),"")</f>
        <v>8</v>
      </c>
      <c r="P42" s="183">
        <f>IF(Tabla329[[#This Row],[Puntos scratch]]="","NO PUNTÚA",SUM(Tabla329[[#This Row],[Puntos scratch]],Tabla329[[#This Row],[Puntos clase]]))</f>
        <v>28</v>
      </c>
      <c r="Q42" s="183">
        <f>IF(AND(G42="M",Tabla329[[#This Row],[POS]]&lt;&gt;"AB",Tabla329[[#This Row],[POS]]&lt;&gt;"DSQ"),COUNTIF($G$41:G42,"M"),"")</f>
        <v>2</v>
      </c>
      <c r="R42" s="183">
        <f>IF(G42="M",IF(Tabla329[[#This Row],[Tiempo]]="AB","",LOOKUP(Tabla329[[#This Row],[CLAS SCRATCH2]],'Datos puntos'!$A$2:$A$23,'Datos puntos'!$B$2:$B$23)),"")</f>
        <v>20</v>
      </c>
      <c r="S42" s="183">
        <f>Tabla329[[#This Row],[CLAS SCRATCH2]]</f>
        <v>2</v>
      </c>
      <c r="T42" s="183">
        <f>IF(G42="M",IF(Tabla329[[#This Row],[Tiempo]]="AB","",LOOKUP(Tabla329[[#This Row],[CLAS CLASE2]],'Datos puntos'!$A$25:$A$53,'Datos puntos'!$B$25:$B$53)),"")</f>
        <v>8</v>
      </c>
      <c r="U42" s="183">
        <f>IF(Tabla329[[#This Row],[Puntos scratch3]]="","NO PUNTÚA",SUM(Tabla329[[#This Row],[Puntos scratch3]],Tabla329[[#This Row],[Puntos clase5]]))</f>
        <v>28</v>
      </c>
    </row>
    <row r="43" spans="1:24" x14ac:dyDescent="0.35">
      <c r="A43" s="193">
        <v>3</v>
      </c>
      <c r="B43" s="193">
        <v>31</v>
      </c>
      <c r="C43" s="467" t="s">
        <v>444</v>
      </c>
      <c r="D43" s="194" t="s">
        <v>704</v>
      </c>
      <c r="E43" s="194" t="s">
        <v>173</v>
      </c>
      <c r="F43" s="194" t="s">
        <v>377</v>
      </c>
      <c r="G43" s="194" t="s">
        <v>168</v>
      </c>
      <c r="H43" s="194" t="s">
        <v>705</v>
      </c>
      <c r="I43" s="195" t="s">
        <v>186</v>
      </c>
      <c r="J43" s="195">
        <v>6</v>
      </c>
      <c r="K43" s="187"/>
      <c r="L43" s="183" t="str">
        <f>IF(AND(E43="M",Tabla329[[#This Row],[POS]]&lt;&gt;"AB",Tabla329[[#This Row],[POS]]&lt;&gt;"DSQ"),COUNTIF($E$41:E43,"M"),"")</f>
        <v/>
      </c>
      <c r="M43" s="183" t="str">
        <f>IF(E43="M",IF(Tabla329[[#This Row],[Tiempo]]="AB","",LOOKUP(Tabla329[[#This Row],[CLAS SCRATCH]],'Datos puntos'!$A$2:$A$23,'Datos puntos'!$B$2:$B$23)),"")</f>
        <v/>
      </c>
      <c r="N43" s="183" t="str">
        <f>Tabla329[[#This Row],[CLAS SCRATCH]]</f>
        <v/>
      </c>
      <c r="O43" s="183" t="str">
        <f>IF(E43="M",IF(Tabla329[[#This Row],[Tiempo]]="AB","",LOOKUP(Tabla329[[#This Row],[CLAS CLASE]],'Datos puntos'!$A$25:$A$53,'Datos puntos'!$B$25:$B$53)),"")</f>
        <v/>
      </c>
      <c r="P43" s="183" t="str">
        <f>IF(Tabla329[[#This Row],[Puntos scratch]]="","NO PUNTÚA",SUM(Tabla329[[#This Row],[Puntos scratch]],Tabla329[[#This Row],[Puntos clase]]))</f>
        <v>NO PUNTÚA</v>
      </c>
      <c r="Q43" s="183">
        <f>IF(AND(G43="M",Tabla329[[#This Row],[POS]]&lt;&gt;"AB",Tabla329[[#This Row],[POS]]&lt;&gt;"DSQ"),COUNTIF($G$41:G43,"M"),"")</f>
        <v>3</v>
      </c>
      <c r="R43" s="183">
        <f>IF(G43="M",IF(Tabla329[[#This Row],[Tiempo]]="AB","",LOOKUP(Tabla329[[#This Row],[CLAS SCRATCH2]],'Datos puntos'!$A$2:$A$23,'Datos puntos'!$B$2:$B$23)),"")</f>
        <v>17</v>
      </c>
      <c r="S43" s="183">
        <f>Tabla329[[#This Row],[CLAS SCRATCH2]]</f>
        <v>3</v>
      </c>
      <c r="T43" s="183">
        <f>IF(G43="M",IF(Tabla329[[#This Row],[Tiempo]]="AB","",LOOKUP(Tabla329[[#This Row],[CLAS CLASE2]],'Datos puntos'!$A$25:$A$53,'Datos puntos'!$B$25:$B$53)),"")</f>
        <v>6</v>
      </c>
      <c r="U43" s="183">
        <f>IF(Tabla329[[#This Row],[Puntos scratch3]]="","NO PUNTÚA",SUM(Tabla329[[#This Row],[Puntos scratch3]],Tabla329[[#This Row],[Puntos clase5]]))</f>
        <v>23</v>
      </c>
    </row>
    <row r="44" spans="1:24" x14ac:dyDescent="0.35">
      <c r="A44" s="193" t="s">
        <v>179</v>
      </c>
      <c r="B44" s="193">
        <v>7</v>
      </c>
      <c r="C44" s="469" t="s">
        <v>169</v>
      </c>
      <c r="D44" s="194" t="s">
        <v>571</v>
      </c>
      <c r="E44" s="194" t="s">
        <v>168</v>
      </c>
      <c r="F44" s="194" t="s">
        <v>573</v>
      </c>
      <c r="G44" s="194" t="s">
        <v>168</v>
      </c>
      <c r="H44" s="194" t="s">
        <v>707</v>
      </c>
      <c r="I44" s="195" t="s">
        <v>186</v>
      </c>
      <c r="J44" s="195">
        <v>6</v>
      </c>
      <c r="K44" s="181"/>
      <c r="L44" s="183" t="str">
        <f>IF(AND(E44="M",Tabla329[[#This Row],[POS]]&lt;&gt;"AB",Tabla329[[#This Row],[POS]]&lt;&gt;"DSQ"),COUNTIF($E$41:E44,"M"),"")</f>
        <v/>
      </c>
      <c r="M44" s="183" t="e">
        <f>IF(E44="M",IF(Tabla329[[#This Row],[Tiempo]]="AB","",LOOKUP(Tabla329[[#This Row],[CLAS SCRATCH]],'Datos puntos'!$A$2:$A$23,'Datos puntos'!$B$2:$B$23)),"")</f>
        <v>#N/A</v>
      </c>
      <c r="N44" s="183" t="str">
        <f>Tabla329[[#This Row],[CLAS SCRATCH]]</f>
        <v/>
      </c>
      <c r="O44" s="183" t="e">
        <f>IF(E44="M",IF(Tabla329[[#This Row],[Tiempo]]="AB","",LOOKUP(Tabla329[[#This Row],[CLAS CLASE]],'Datos puntos'!$A$25:$A$53,'Datos puntos'!$B$25:$B$53)),"")</f>
        <v>#N/A</v>
      </c>
      <c r="P44" s="183" t="e">
        <f>IF(Tabla329[[#This Row],[Puntos scratch]]="","NO PUNTÚA",SUM(Tabla329[[#This Row],[Puntos scratch]],Tabla329[[#This Row],[Puntos clase]]))</f>
        <v>#N/A</v>
      </c>
      <c r="Q44" s="183" t="str">
        <f>IF(AND(G44="M",Tabla329[[#This Row],[POS]]&lt;&gt;"AB",Tabla329[[#This Row],[POS]]&lt;&gt;"DSQ"),COUNTIF($G$41:G44,"M"),"")</f>
        <v/>
      </c>
      <c r="R44" s="183" t="e">
        <f>IF(G44="M",IF(Tabla329[[#This Row],[Tiempo]]="AB","",LOOKUP(Tabla329[[#This Row],[CLAS SCRATCH2]],'Datos puntos'!$A$2:$A$23,'Datos puntos'!$B$2:$B$23)),"")</f>
        <v>#N/A</v>
      </c>
      <c r="S44" s="183" t="str">
        <f>Tabla329[[#This Row],[CLAS SCRATCH2]]</f>
        <v/>
      </c>
      <c r="T44" s="183" t="e">
        <f>IF(G44="M",IF(Tabla329[[#This Row],[Tiempo]]="AB","",LOOKUP(Tabla329[[#This Row],[CLAS CLASE2]],'Datos puntos'!$A$25:$A$53,'Datos puntos'!$B$25:$B$53)),"")</f>
        <v>#N/A</v>
      </c>
      <c r="U44" s="183" t="e">
        <f>IF(Tabla329[[#This Row],[Puntos scratch3]]="","NO PUNTÚA",SUM(Tabla329[[#This Row],[Puntos scratch3]],Tabla329[[#This Row],[Puntos clase5]]))</f>
        <v>#N/A</v>
      </c>
    </row>
    <row r="45" spans="1:24" x14ac:dyDescent="0.35">
      <c r="A45" s="193"/>
      <c r="B45" s="193"/>
      <c r="C45" s="194"/>
      <c r="D45" s="194"/>
      <c r="E45" s="194"/>
      <c r="F45" s="194"/>
      <c r="G45" s="194"/>
      <c r="H45" s="194"/>
      <c r="I45" s="195"/>
      <c r="J45" s="195"/>
      <c r="K45" s="181"/>
      <c r="L45" s="183" t="str">
        <f>IF(AND(E45="M",Tabla329[[#This Row],[POS]]&lt;&gt;"AB",Tabla329[[#This Row],[POS]]&lt;&gt;"DSQ"),COUNTIF($E$41:E45,"M"),"")</f>
        <v/>
      </c>
      <c r="M45" s="183" t="str">
        <f>IF(E45="M",IF(Tabla329[[#This Row],[Tiempo]]="AB","",LOOKUP(Tabla329[[#This Row],[CLAS SCRATCH]],'Datos puntos'!$A$2:$A$23,'Datos puntos'!$B$2:$B$23)),"")</f>
        <v/>
      </c>
      <c r="N45" s="183" t="str">
        <f>Tabla329[[#This Row],[CLAS SCRATCH]]</f>
        <v/>
      </c>
      <c r="O45" s="183" t="str">
        <f>IF(E45="M",IF(Tabla329[[#This Row],[Tiempo]]="AB","",LOOKUP(Tabla329[[#This Row],[CLAS CLASE]],'Datos puntos'!$A$25:$A$53,'Datos puntos'!$B$25:$B$53)),"")</f>
        <v/>
      </c>
      <c r="P45" s="183" t="str">
        <f>IF(Tabla329[[#This Row],[Puntos scratch]]="","NO PUNTÚA",SUM(Tabla329[[#This Row],[Puntos scratch]],Tabla329[[#This Row],[Puntos clase]]))</f>
        <v>NO PUNTÚA</v>
      </c>
      <c r="Q45" s="183" t="str">
        <f>IF(AND(G45="M",Tabla329[[#This Row],[POS]]&lt;&gt;"AB",Tabla329[[#This Row],[POS]]&lt;&gt;"DSQ"),COUNTIF($G$41:G45,"M"),"")</f>
        <v/>
      </c>
      <c r="R45" s="183" t="str">
        <f>IF(G45="M",IF(Tabla329[[#This Row],[Tiempo]]="AB","",LOOKUP(Tabla329[[#This Row],[CLAS SCRATCH2]],'Datos puntos'!$A$2:$A$23,'Datos puntos'!$B$2:$B$23)),"")</f>
        <v/>
      </c>
      <c r="S45" s="183" t="str">
        <f>Tabla329[[#This Row],[CLAS SCRATCH2]]</f>
        <v/>
      </c>
      <c r="T45" s="183" t="str">
        <f>IF(G45="M",IF(Tabla329[[#This Row],[Tiempo]]="AB","",LOOKUP(Tabla329[[#This Row],[CLAS CLASE2]],'Datos puntos'!$A$25:$A$53,'Datos puntos'!$B$25:$B$53)),"")</f>
        <v/>
      </c>
      <c r="U45" s="183" t="str">
        <f>IF(Tabla329[[#This Row],[Puntos scratch3]]="","NO PUNTÚA",SUM(Tabla329[[#This Row],[Puntos scratch3]],Tabla329[[#This Row],[Puntos clase5]]))</f>
        <v>NO PUNTÚA</v>
      </c>
    </row>
    <row r="46" spans="1:24" x14ac:dyDescent="0.35">
      <c r="A46" s="193"/>
      <c r="B46" s="193"/>
      <c r="C46" s="194"/>
      <c r="D46" s="194"/>
      <c r="E46" s="194"/>
      <c r="F46" s="194"/>
      <c r="G46" s="194"/>
      <c r="H46" s="194"/>
      <c r="I46" s="195"/>
      <c r="J46" s="195"/>
      <c r="K46" s="187"/>
      <c r="L46" s="189"/>
      <c r="M46" s="189"/>
      <c r="N46" s="182"/>
    </row>
    <row r="47" spans="1:24" x14ac:dyDescent="0.35">
      <c r="A47" s="193"/>
      <c r="B47" s="193"/>
      <c r="C47" s="194"/>
      <c r="D47" s="194"/>
      <c r="E47" s="194"/>
      <c r="F47" s="194"/>
      <c r="G47" s="194"/>
      <c r="H47" s="194"/>
      <c r="I47" s="195"/>
      <c r="J47" s="195"/>
      <c r="K47" s="187"/>
      <c r="L47" s="189"/>
      <c r="M47" s="189"/>
      <c r="N47" s="182"/>
    </row>
    <row r="48" spans="1:24" ht="15.5" x14ac:dyDescent="0.35">
      <c r="A48" s="203" t="s">
        <v>261</v>
      </c>
      <c r="B48" s="203"/>
      <c r="C48" s="204"/>
      <c r="D48" s="204"/>
      <c r="E48" s="204"/>
      <c r="F48" s="204"/>
      <c r="G48" s="204"/>
      <c r="H48" s="204"/>
      <c r="I48" s="204"/>
      <c r="J48" s="204"/>
      <c r="K48" s="205"/>
      <c r="L48" s="189"/>
      <c r="M48" s="189"/>
      <c r="N48" s="174" t="s">
        <v>1</v>
      </c>
      <c r="O48" s="174"/>
      <c r="P48" s="199"/>
      <c r="Q48" s="199"/>
      <c r="R48" s="199"/>
      <c r="S48" s="176" t="s">
        <v>166</v>
      </c>
      <c r="T48" s="202"/>
      <c r="U48" s="199"/>
      <c r="V48" s="199"/>
      <c r="W48" s="199"/>
      <c r="X48" s="199"/>
    </row>
    <row r="49" spans="1:24" x14ac:dyDescent="0.35">
      <c r="A49" s="193" t="s">
        <v>190</v>
      </c>
      <c r="B49" s="193" t="s">
        <v>191</v>
      </c>
      <c r="C49" s="194" t="s">
        <v>192</v>
      </c>
      <c r="D49" s="194" t="s">
        <v>193</v>
      </c>
      <c r="E49" s="194" t="s">
        <v>262</v>
      </c>
      <c r="F49" s="194" t="s">
        <v>195</v>
      </c>
      <c r="G49" s="194" t="s">
        <v>263</v>
      </c>
      <c r="H49" s="194" t="s">
        <v>197</v>
      </c>
      <c r="I49" s="195" t="s">
        <v>198</v>
      </c>
      <c r="J49" s="195" t="s">
        <v>2</v>
      </c>
      <c r="K49" s="187" t="s">
        <v>199</v>
      </c>
      <c r="L49" s="210" t="s">
        <v>214</v>
      </c>
      <c r="M49" s="211" t="s">
        <v>217</v>
      </c>
      <c r="N49" s="211" t="s">
        <v>254</v>
      </c>
      <c r="O49" s="211" t="s">
        <v>218</v>
      </c>
      <c r="P49" s="211" t="s">
        <v>219</v>
      </c>
      <c r="Q49" s="212" t="s">
        <v>228</v>
      </c>
      <c r="R49" s="212" t="s">
        <v>229</v>
      </c>
      <c r="S49" s="212" t="s">
        <v>255</v>
      </c>
      <c r="T49" s="212" t="s">
        <v>230</v>
      </c>
      <c r="U49" s="212" t="s">
        <v>231</v>
      </c>
    </row>
    <row r="50" spans="1:24" x14ac:dyDescent="0.35">
      <c r="A50" s="193">
        <v>1</v>
      </c>
      <c r="B50" s="193">
        <v>37</v>
      </c>
      <c r="C50" s="470" t="s">
        <v>330</v>
      </c>
      <c r="D50" s="194" t="s">
        <v>639</v>
      </c>
      <c r="E50" s="267" t="s">
        <v>168</v>
      </c>
      <c r="F50" s="194" t="s">
        <v>358</v>
      </c>
      <c r="G50" s="194" t="s">
        <v>168</v>
      </c>
      <c r="H50" s="194" t="s">
        <v>329</v>
      </c>
      <c r="I50" s="195" t="s">
        <v>187</v>
      </c>
      <c r="J50" s="195">
        <v>7</v>
      </c>
      <c r="K50" s="187"/>
      <c r="L50" s="182">
        <f>IF(AND(E50="M",Tabla710[[#This Row],[POS]]&lt;&gt;"AB",Tabla710[[#This Row],[POS]]&lt;&gt;"DSQ"),COUNTIF($E$50:E50,"M"),"")</f>
        <v>1</v>
      </c>
      <c r="M50" s="182">
        <f>IF(E50="M",IF(Tabla710[[#This Row],[Tiempo]]="AB","",LOOKUP(Tabla710[[#This Row],[CLAS SCRATCH]],'Datos puntos'!$A$2:$A$23,'Datos puntos'!$B$2:$B$23)),"")</f>
        <v>25</v>
      </c>
      <c r="N50" s="182">
        <f>Tabla710[[#This Row],[CLAS SCRATCH]]</f>
        <v>1</v>
      </c>
      <c r="O50" s="182">
        <f>IF(E50="M",IF(Tabla710[[#This Row],[Tiempo]]="AB","",LOOKUP(Tabla710[[#This Row],[CLAS CLASE]],'Datos puntos'!$A$25:$A$53,'Datos puntos'!$B$25:$B$53)),"")</f>
        <v>10</v>
      </c>
      <c r="P50" s="182">
        <f>IF(Tabla710[[#This Row],[Puntos scratch]]="","NO PUNTÚA",SUM(Tabla710[[#This Row],[Puntos scratch]],Tabla710[[#This Row],[Puntos clase]]))</f>
        <v>35</v>
      </c>
      <c r="Q50" s="182">
        <f>IF(AND(G50="M",Tabla710[[#This Row],[POS]]&lt;&gt;"AB",Tabla710[[#This Row],[POS]]&lt;&gt;"DSQ"),COUNTIF($G$50:G50,"M"),"")</f>
        <v>1</v>
      </c>
      <c r="R50" s="182">
        <f>IF(G50="M",IF(Tabla710[[#This Row],[Tiempo]]="AB","",LOOKUP(Tabla710[[#This Row],[CLAS SCRATCH2]],'Datos puntos'!$A$2:$A$23,'Datos puntos'!$B$2:$B$23)),"")</f>
        <v>25</v>
      </c>
      <c r="S50" s="182">
        <f>Tabla710[[#This Row],[CLAS SCRATCH2]]</f>
        <v>1</v>
      </c>
      <c r="T50" s="182">
        <f>IF(G50="M",IF(Tabla710[[#This Row],[Tiempo]]="AB","",LOOKUP(Tabla710[[#This Row],[CLAS CLASE2]],'Datos puntos'!$A$25:$A$53,'Datos puntos'!$B$25:$B$53)),"")</f>
        <v>10</v>
      </c>
      <c r="U50" s="182">
        <f>IF(Tabla710[[#This Row],[Puntos scratch3]]="","NO PUNTÚA",SUM(Tabla710[[#This Row],[Puntos scratch3]],Tabla710[[#This Row],[Puntos clase5]]))</f>
        <v>35</v>
      </c>
    </row>
    <row r="51" spans="1:24" x14ac:dyDescent="0.35">
      <c r="A51" s="193">
        <v>2</v>
      </c>
      <c r="B51" s="193">
        <v>39</v>
      </c>
      <c r="C51" s="472" t="s">
        <v>588</v>
      </c>
      <c r="D51" s="206" t="s">
        <v>642</v>
      </c>
      <c r="E51" s="194" t="s">
        <v>168</v>
      </c>
      <c r="F51" s="194" t="s">
        <v>426</v>
      </c>
      <c r="G51" s="194" t="s">
        <v>168</v>
      </c>
      <c r="H51" s="194" t="s">
        <v>392</v>
      </c>
      <c r="I51" s="195" t="s">
        <v>187</v>
      </c>
      <c r="J51" s="195">
        <v>7</v>
      </c>
      <c r="K51" s="187"/>
      <c r="L51" s="182">
        <f>IF(AND(E51="M",Tabla710[[#This Row],[POS]]&lt;&gt;"AB",Tabla710[[#This Row],[POS]]&lt;&gt;"DSQ"),COUNTIF($E$50:E51,"M"),"")</f>
        <v>2</v>
      </c>
      <c r="M51" s="182">
        <f>IF(E51="M",IF(Tabla710[[#This Row],[Tiempo]]="AB","",LOOKUP(Tabla710[[#This Row],[CLAS SCRATCH]],'Datos puntos'!$A$2:$A$23,'Datos puntos'!$B$2:$B$23)),"")</f>
        <v>20</v>
      </c>
      <c r="N51" s="182">
        <f>Tabla710[[#This Row],[CLAS SCRATCH]]</f>
        <v>2</v>
      </c>
      <c r="O51" s="182">
        <f>IF(E51="M",IF(Tabla710[[#This Row],[Tiempo]]="AB","",LOOKUP(Tabla710[[#This Row],[CLAS CLASE]],'Datos puntos'!$A$25:$A$53,'Datos puntos'!$B$25:$B$53)),"")</f>
        <v>8</v>
      </c>
      <c r="P51" s="182">
        <f>IF(Tabla710[[#This Row],[Puntos scratch]]="","NO PUNTÚA",SUM(Tabla710[[#This Row],[Puntos scratch]],Tabla710[[#This Row],[Puntos clase]]))</f>
        <v>28</v>
      </c>
      <c r="Q51" s="182">
        <f>IF(AND(G51="M",Tabla710[[#This Row],[POS]]&lt;&gt;"AB",Tabla710[[#This Row],[POS]]&lt;&gt;"DSQ"),COUNTIF($G$50:G51,"M"),"")</f>
        <v>2</v>
      </c>
      <c r="R51" s="182">
        <f>IF(G51="M",IF(Tabla710[[#This Row],[Tiempo]]="AB","",LOOKUP(Tabla710[[#This Row],[CLAS SCRATCH2]],'Datos puntos'!$A$2:$A$23,'Datos puntos'!$B$2:$B$23)),"")</f>
        <v>20</v>
      </c>
      <c r="S51" s="182">
        <f>Tabla710[[#This Row],[CLAS SCRATCH2]]</f>
        <v>2</v>
      </c>
      <c r="T51" s="182">
        <f>IF(G51="M",IF(Tabla710[[#This Row],[Tiempo]]="AB","",LOOKUP(Tabla710[[#This Row],[CLAS CLASE2]],'Datos puntos'!$A$25:$A$53,'Datos puntos'!$B$25:$B$53)),"")</f>
        <v>8</v>
      </c>
      <c r="U51" s="182">
        <f>IF(Tabla710[[#This Row],[Puntos scratch3]]="","NO PUNTÚA",SUM(Tabla710[[#This Row],[Puntos scratch3]],Tabla710[[#This Row],[Puntos clase5]]))</f>
        <v>28</v>
      </c>
    </row>
    <row r="52" spans="1:24" x14ac:dyDescent="0.35">
      <c r="A52" s="193">
        <v>3</v>
      </c>
      <c r="B52" s="193">
        <v>40</v>
      </c>
      <c r="C52" s="469" t="s">
        <v>169</v>
      </c>
      <c r="D52" s="206" t="s">
        <v>643</v>
      </c>
      <c r="E52" s="194" t="s">
        <v>168</v>
      </c>
      <c r="F52" s="194" t="s">
        <v>706</v>
      </c>
      <c r="G52" s="194" t="s">
        <v>168</v>
      </c>
      <c r="H52" s="194" t="s">
        <v>336</v>
      </c>
      <c r="I52" s="195" t="s">
        <v>187</v>
      </c>
      <c r="J52" s="195">
        <v>7</v>
      </c>
      <c r="K52" s="187"/>
      <c r="L52" s="182">
        <f>IF(AND(E52="M",Tabla710[[#This Row],[POS]]&lt;&gt;"AB",Tabla710[[#This Row],[POS]]&lt;&gt;"DSQ"),COUNTIF($E$50:E52,"M"),"")</f>
        <v>3</v>
      </c>
      <c r="M52" s="182">
        <f>IF(E52="M",IF(Tabla710[[#This Row],[Tiempo]]="AB","",LOOKUP(Tabla710[[#This Row],[CLAS SCRATCH]],'Datos puntos'!$A$2:$A$23,'Datos puntos'!$B$2:$B$23)),"")</f>
        <v>17</v>
      </c>
      <c r="N52" s="182">
        <f>Tabla710[[#This Row],[CLAS SCRATCH]]</f>
        <v>3</v>
      </c>
      <c r="O52" s="182">
        <f>IF(E52="M",IF(Tabla710[[#This Row],[Tiempo]]="AB","",LOOKUP(Tabla710[[#This Row],[CLAS CLASE]],'Datos puntos'!$A$25:$A$53,'Datos puntos'!$B$25:$B$53)),"")</f>
        <v>6</v>
      </c>
      <c r="P52" s="182">
        <f>IF(Tabla710[[#This Row],[Puntos scratch]]="","NO PUNTÚA",SUM(Tabla710[[#This Row],[Puntos scratch]],Tabla710[[#This Row],[Puntos clase]]))</f>
        <v>23</v>
      </c>
      <c r="Q52" s="182">
        <f>IF(AND(G52="M",Tabla710[[#This Row],[POS]]&lt;&gt;"AB",Tabla710[[#This Row],[POS]]&lt;&gt;"DSQ"),COUNTIF($G$50:G52,"M"),"")</f>
        <v>3</v>
      </c>
      <c r="R52" s="182">
        <f>IF(G52="M",IF(Tabla710[[#This Row],[Tiempo]]="AB","",LOOKUP(Tabla710[[#This Row],[CLAS SCRATCH2]],'Datos puntos'!$A$2:$A$23,'Datos puntos'!$B$2:$B$23)),"")</f>
        <v>17</v>
      </c>
      <c r="S52" s="182">
        <f>Tabla710[[#This Row],[CLAS SCRATCH2]]</f>
        <v>3</v>
      </c>
      <c r="T52" s="182">
        <f>IF(G52="M",IF(Tabla710[[#This Row],[Tiempo]]="AB","",LOOKUP(Tabla710[[#This Row],[CLAS CLASE2]],'Datos puntos'!$A$25:$A$53,'Datos puntos'!$B$25:$B$53)),"")</f>
        <v>6</v>
      </c>
      <c r="U52" s="182">
        <f>IF(Tabla710[[#This Row],[Puntos scratch3]]="","NO PUNTÚA",SUM(Tabla710[[#This Row],[Puntos scratch3]],Tabla710[[#This Row],[Puntos clase5]]))</f>
        <v>23</v>
      </c>
    </row>
    <row r="53" spans="1:24" x14ac:dyDescent="0.35">
      <c r="A53" s="193" t="s">
        <v>179</v>
      </c>
      <c r="B53" s="193">
        <v>38</v>
      </c>
      <c r="C53" s="194" t="s">
        <v>640</v>
      </c>
      <c r="D53" s="206" t="s">
        <v>655</v>
      </c>
      <c r="E53" s="234" t="s">
        <v>168</v>
      </c>
      <c r="F53" s="194" t="s">
        <v>360</v>
      </c>
      <c r="G53" s="194" t="s">
        <v>168</v>
      </c>
      <c r="H53" s="194" t="s">
        <v>266</v>
      </c>
      <c r="I53" s="195" t="s">
        <v>187</v>
      </c>
      <c r="J53" s="195">
        <v>7</v>
      </c>
      <c r="K53" s="187" t="s">
        <v>179</v>
      </c>
      <c r="L53" s="182" t="str">
        <f>IF(AND(E53="M",Tabla710[[#This Row],[POS]]&lt;&gt;"AB",Tabla710[[#This Row],[POS]]&lt;&gt;"DSQ"),COUNTIF($E$50:E53,"M"),"")</f>
        <v/>
      </c>
      <c r="M53" s="182" t="str">
        <f>IF(E53="M",IF(Tabla710[[#This Row],[Tiempo]]="AB","",LOOKUP(Tabla710[[#This Row],[CLAS SCRATCH]],'Datos puntos'!$A$2:$A$23,'Datos puntos'!$B$2:$B$23)),"")</f>
        <v/>
      </c>
      <c r="N53" s="182" t="str">
        <f>Tabla710[[#This Row],[CLAS SCRATCH]]</f>
        <v/>
      </c>
      <c r="O53" s="182" t="str">
        <f>IF(E53="M",IF(Tabla710[[#This Row],[Tiempo]]="AB","",LOOKUP(Tabla710[[#This Row],[CLAS CLASE]],'Datos puntos'!$A$25:$A$53,'Datos puntos'!$B$25:$B$53)),"")</f>
        <v/>
      </c>
      <c r="P53" s="182" t="str">
        <f>IF(Tabla710[[#This Row],[Puntos scratch]]="","NO PUNTÚA",SUM(Tabla710[[#This Row],[Puntos scratch]],Tabla710[[#This Row],[Puntos clase]]))</f>
        <v>NO PUNTÚA</v>
      </c>
      <c r="Q53" s="182" t="str">
        <f>IF(AND(G53="M",Tabla710[[#This Row],[POS]]&lt;&gt;"AB",Tabla710[[#This Row],[POS]]&lt;&gt;"DSQ"),COUNTIF($G$50:G53,"M"),"")</f>
        <v/>
      </c>
      <c r="R53" s="182" t="str">
        <f>IF(G53="M",IF(Tabla710[[#This Row],[Tiempo]]="AB","",LOOKUP(Tabla710[[#This Row],[CLAS SCRATCH2]],'Datos puntos'!$A$2:$A$23,'Datos puntos'!$B$2:$B$23)),"")</f>
        <v/>
      </c>
      <c r="S53" s="182" t="str">
        <f>Tabla710[[#This Row],[CLAS SCRATCH2]]</f>
        <v/>
      </c>
      <c r="T53" s="182" t="str">
        <f>IF(G53="M",IF(Tabla710[[#This Row],[Tiempo]]="AB","",LOOKUP(Tabla710[[#This Row],[CLAS CLASE2]],'Datos puntos'!$A$25:$A$53,'Datos puntos'!$B$25:$B$53)),"")</f>
        <v/>
      </c>
      <c r="U53" s="182" t="str">
        <f>IF(Tabla710[[#This Row],[Puntos scratch3]]="","NO PUNTÚA",SUM(Tabla710[[#This Row],[Puntos scratch3]],Tabla710[[#This Row],[Puntos clase5]]))</f>
        <v>NO PUNTÚA</v>
      </c>
    </row>
    <row r="54" spans="1:24" x14ac:dyDescent="0.35">
      <c r="A54" s="193"/>
      <c r="B54" s="193"/>
      <c r="C54" s="469"/>
      <c r="D54" s="206"/>
      <c r="E54" s="194"/>
      <c r="F54" s="194"/>
      <c r="G54" s="194"/>
      <c r="H54" s="194"/>
      <c r="I54" s="195"/>
      <c r="J54" s="195"/>
      <c r="K54" s="187"/>
      <c r="L54" s="182" t="str">
        <f>IF(AND(E54="M",Tabla710[[#This Row],[POS]]&lt;&gt;"AB",Tabla710[[#This Row],[POS]]&lt;&gt;"DSQ"),COUNTIF($E$50:E54,"M"),"")</f>
        <v/>
      </c>
      <c r="M54" s="182" t="str">
        <f>IF(E54="M",IF(Tabla710[[#This Row],[Tiempo]]="AB","",LOOKUP(Tabla710[[#This Row],[CLAS SCRATCH]],'Datos puntos'!$A$2:$A$23,'Datos puntos'!$B$2:$B$23)),"")</f>
        <v/>
      </c>
      <c r="N54" s="182" t="str">
        <f>Tabla710[[#This Row],[CLAS SCRATCH]]</f>
        <v/>
      </c>
      <c r="O54" s="182" t="str">
        <f>IF(E54="M",IF(Tabla710[[#This Row],[Tiempo]]="AB","",LOOKUP(Tabla710[[#This Row],[CLAS CLASE]],'Datos puntos'!$A$25:$A$53,'Datos puntos'!$B$25:$B$53)),"")</f>
        <v/>
      </c>
      <c r="P54" s="182" t="str">
        <f>IF(Tabla710[[#This Row],[Puntos scratch]]="","NO PUNTÚA",SUM(Tabla710[[#This Row],[Puntos scratch]],Tabla710[[#This Row],[Puntos clase]]))</f>
        <v>NO PUNTÚA</v>
      </c>
      <c r="Q54" s="182" t="str">
        <f>IF(AND(G54="M",Tabla710[[#This Row],[POS]]&lt;&gt;"AB",Tabla710[[#This Row],[POS]]&lt;&gt;"DSQ"),COUNTIF($G$50:G54,"M"),"")</f>
        <v/>
      </c>
      <c r="R54" s="182" t="str">
        <f>IF(G54="M",IF(Tabla710[[#This Row],[Tiempo]]="AB","",LOOKUP(Tabla710[[#This Row],[CLAS SCRATCH2]],'Datos puntos'!$A$2:$A$23,'Datos puntos'!$B$2:$B$23)),"")</f>
        <v/>
      </c>
      <c r="S54" s="182" t="str">
        <f>Tabla710[[#This Row],[CLAS SCRATCH2]]</f>
        <v/>
      </c>
      <c r="T54" s="182" t="str">
        <f>IF(G54="M",IF(Tabla710[[#This Row],[Tiempo]]="AB","",LOOKUP(Tabla710[[#This Row],[CLAS CLASE2]],'Datos puntos'!$A$25:$A$53,'Datos puntos'!$B$25:$B$53)),"")</f>
        <v/>
      </c>
      <c r="U54" s="182" t="str">
        <f>IF(Tabla710[[#This Row],[Puntos scratch3]]="","NO PUNTÚA",SUM(Tabla710[[#This Row],[Puntos scratch3]],Tabla710[[#This Row],[Puntos clase5]]))</f>
        <v>NO PUNTÚA</v>
      </c>
      <c r="V54" s="182"/>
      <c r="W54" s="182"/>
      <c r="X54" s="182"/>
    </row>
    <row r="55" spans="1:24" x14ac:dyDescent="0.35">
      <c r="A55" s="193"/>
      <c r="B55" s="193"/>
      <c r="C55" s="473"/>
      <c r="D55" s="194"/>
      <c r="E55" s="194"/>
      <c r="F55" s="194"/>
      <c r="G55" s="194"/>
      <c r="H55" s="194"/>
      <c r="I55" s="195"/>
      <c r="J55" s="195"/>
      <c r="K55" s="187"/>
      <c r="L55" s="270" t="str">
        <f>IF(AND(E55="M",Tabla710[[#This Row],[POS]]&lt;&gt;"AB",Tabla710[[#This Row],[POS]]&lt;&gt;"DSQ"),COUNTIF($E$50:E55,"M"),"")</f>
        <v/>
      </c>
      <c r="M55" s="182" t="str">
        <f>IF(E55="M",IF(Tabla710[[#This Row],[Tiempo]]="AB","",LOOKUP(Tabla710[[#This Row],[CLAS SCRATCH]],'Datos puntos'!$A$2:$A$23,'Datos puntos'!$B$2:$B$23)),"")</f>
        <v/>
      </c>
      <c r="N55" s="182" t="str">
        <f>Tabla710[[#This Row],[CLAS SCRATCH]]</f>
        <v/>
      </c>
      <c r="O55" s="182" t="str">
        <f>IF(E55="M",IF(Tabla710[[#This Row],[Tiempo]]="AB","",LOOKUP(Tabla710[[#This Row],[CLAS CLASE]],'Datos puntos'!$A$25:$A$53,'Datos puntos'!$B$25:$B$53)),"")</f>
        <v/>
      </c>
      <c r="P55" s="182" t="str">
        <f>IF(Tabla710[[#This Row],[Puntos scratch]]="","NO PUNTÚA",SUM(Tabla710[[#This Row],[Puntos scratch]],Tabla710[[#This Row],[Puntos clase]]))</f>
        <v>NO PUNTÚA</v>
      </c>
      <c r="Q55" s="270" t="str">
        <f>IF(AND(G55="M",Tabla710[[#This Row],[POS]]&lt;&gt;"AB",Tabla710[[#This Row],[POS]]&lt;&gt;"DSQ"),COUNTIF($G$50:G55,"M"),"")</f>
        <v/>
      </c>
      <c r="R55" s="182" t="str">
        <f>IF(G55="M",IF(Tabla710[[#This Row],[Tiempo]]="AB","",LOOKUP(Tabla710[[#This Row],[CLAS SCRATCH2]],'Datos puntos'!$A$2:$A$23,'Datos puntos'!$B$2:$B$23)),"")</f>
        <v/>
      </c>
      <c r="S55" s="182" t="str">
        <f>Tabla710[[#This Row],[CLAS SCRATCH2]]</f>
        <v/>
      </c>
      <c r="T55" s="182" t="str">
        <f>IF(G55="M",IF(Tabla710[[#This Row],[Tiempo]]="AB","",LOOKUP(Tabla710[[#This Row],[CLAS CLASE2]],'Datos puntos'!$A$25:$A$53,'Datos puntos'!$B$25:$B$53)),"")</f>
        <v/>
      </c>
      <c r="U55" s="182" t="str">
        <f>IF(Tabla710[[#This Row],[Puntos scratch3]]="","NO PUNTÚA",SUM(Tabla710[[#This Row],[Puntos scratch3]],Tabla710[[#This Row],[Puntos clase5]]))</f>
        <v>NO PUNTÚA</v>
      </c>
    </row>
    <row r="56" spans="1:24" ht="15.5" x14ac:dyDescent="0.35">
      <c r="A56" s="174" t="s">
        <v>260</v>
      </c>
      <c r="B56" s="174"/>
      <c r="C56" s="174"/>
      <c r="D56" s="174"/>
      <c r="E56" s="174"/>
      <c r="F56" s="174"/>
      <c r="G56" s="174"/>
      <c r="H56" s="174"/>
      <c r="I56" s="174"/>
      <c r="J56" s="174"/>
      <c r="K56" s="174"/>
      <c r="L56" s="175"/>
      <c r="M56" s="175"/>
      <c r="N56" s="174" t="s">
        <v>1</v>
      </c>
      <c r="O56" s="174"/>
      <c r="P56" s="199"/>
      <c r="Q56" s="199"/>
      <c r="R56" s="199"/>
      <c r="S56" s="176" t="s">
        <v>166</v>
      </c>
      <c r="T56" s="202"/>
      <c r="U56" s="199"/>
      <c r="V56" s="199"/>
      <c r="W56" s="199"/>
      <c r="X56" s="199"/>
    </row>
    <row r="57" spans="1:24" x14ac:dyDescent="0.35">
      <c r="A57" s="213" t="s">
        <v>190</v>
      </c>
      <c r="B57" s="186" t="s">
        <v>191</v>
      </c>
      <c r="C57" s="186" t="s">
        <v>192</v>
      </c>
      <c r="D57" s="186" t="s">
        <v>193</v>
      </c>
      <c r="E57" s="186" t="s">
        <v>194</v>
      </c>
      <c r="F57" s="186" t="s">
        <v>195</v>
      </c>
      <c r="G57" s="186" t="s">
        <v>196</v>
      </c>
      <c r="H57" s="186" t="s">
        <v>197</v>
      </c>
      <c r="I57" s="186" t="s">
        <v>198</v>
      </c>
      <c r="J57" s="186" t="s">
        <v>2</v>
      </c>
      <c r="K57" s="213" t="s">
        <v>199</v>
      </c>
      <c r="L57" s="214" t="s">
        <v>214</v>
      </c>
      <c r="M57" s="214" t="s">
        <v>217</v>
      </c>
      <c r="N57" s="214" t="s">
        <v>254</v>
      </c>
      <c r="O57" s="214" t="s">
        <v>218</v>
      </c>
      <c r="P57" s="214" t="s">
        <v>219</v>
      </c>
      <c r="Q57" s="215" t="s">
        <v>228</v>
      </c>
      <c r="R57" s="215" t="s">
        <v>229</v>
      </c>
      <c r="S57" s="215" t="s">
        <v>255</v>
      </c>
      <c r="T57" s="215" t="s">
        <v>230</v>
      </c>
      <c r="U57" s="215" t="s">
        <v>231</v>
      </c>
    </row>
    <row r="58" spans="1:24" x14ac:dyDescent="0.35">
      <c r="A58" s="188"/>
      <c r="B58" s="176"/>
      <c r="C58" s="179"/>
      <c r="D58" s="179"/>
      <c r="E58" s="179"/>
      <c r="F58" s="179"/>
      <c r="G58" s="179"/>
      <c r="H58" s="179"/>
      <c r="I58" s="180"/>
      <c r="J58" s="180"/>
      <c r="K58" s="187"/>
      <c r="L58" s="183" t="str">
        <f>IF(AND(E58="M",Tabla27[[#This Row],[POS]]&lt;&gt;"AB",Tabla27[[#This Row],[POS]]&lt;&gt;"DSQ"),COUNTIF($E$58:E58,"M"),"")</f>
        <v/>
      </c>
      <c r="M58" s="183" t="str">
        <f>IF(E58="M",IF(Tabla27[[#This Row],[Tiempo]]="AB","",LOOKUP(Tabla27[[#This Row],[CLAS SCRATCH]],'Datos puntos'!$A$2:$A$23,'Datos puntos'!$B$2:$B$23)),"")</f>
        <v/>
      </c>
      <c r="N58" s="182" t="str">
        <f>Tabla27[[#This Row],[CLAS SCRATCH]]</f>
        <v/>
      </c>
      <c r="O58" s="183" t="str">
        <f>IF(E58="M",IF(Tabla27[[#This Row],[Tiempo]]="AB","",LOOKUP(Tabla27[[#This Row],[CLAS CLASE]],'Datos puntos'!$A$25:$A$53,'Datos puntos'!$B$25:$B$53)),"")</f>
        <v/>
      </c>
      <c r="P58" s="183" t="str">
        <f>IF(Tabla27[[#This Row],[Puntos scratch]]="","NO PUNTÚA",SUM(Tabla27[[#This Row],[Puntos scratch]],Tabla27[[#This Row],[Puntos clase]])*2)</f>
        <v>NO PUNTÚA</v>
      </c>
      <c r="Q58" s="183" t="str">
        <f>IF(AND(G58="M",Tabla27[[#This Row],[POS]]&lt;&gt;"AB",Tabla27[[#This Row],[POS]]&lt;&gt;"DSQ"),COUNTIF($G$58:G58,"M"),"")</f>
        <v/>
      </c>
      <c r="R58" s="183" t="str">
        <f>IF(G58="M",IF(Tabla27[[#This Row],[Tiempo]]="AB","",LOOKUP(Tabla27[[#This Row],[CLAS SCRATCH2]],'Datos puntos'!$A$2:$A$23,'Datos puntos'!$B$2:$B$23)),"")</f>
        <v/>
      </c>
      <c r="S58" s="183" t="str">
        <f>Tabla27[[#This Row],[CLAS SCRATCH]]</f>
        <v/>
      </c>
      <c r="T58" s="183" t="str">
        <f>IF(G58="M",IF(Tabla27[[#This Row],[Tiempo]]="AB","",LOOKUP(Tabla27[[#This Row],[CLAS CLASE2]],'Datos puntos'!$A$25:$A$53,'Datos puntos'!$B$25:$B$53)),"")</f>
        <v/>
      </c>
      <c r="U58" s="183" t="str">
        <f>IF(Tabla27[[#This Row],[Puntos scratch]]="","NO PUNTÚA",SUM(Tabla27[[#This Row],[Puntos scratch]],Tabla27[[#This Row],[Puntos clase]])*2)</f>
        <v>NO PUNTÚA</v>
      </c>
    </row>
    <row r="59" spans="1:24" x14ac:dyDescent="0.35">
      <c r="A59" s="193"/>
      <c r="B59" s="176"/>
      <c r="C59" s="179"/>
      <c r="D59" s="179"/>
      <c r="E59" s="179"/>
      <c r="F59" s="179"/>
      <c r="G59" s="179"/>
      <c r="H59" s="179"/>
      <c r="I59" s="180"/>
      <c r="J59" s="180"/>
      <c r="K59" s="187"/>
      <c r="L59" s="183" t="str">
        <f>IF(AND(E59="M",Tabla27[[#This Row],[POS]]&lt;&gt;"AB",Tabla27[[#This Row],[POS]]&lt;&gt;"DSQ"),COUNTIF($E$58:E59,"M"),"")</f>
        <v/>
      </c>
      <c r="M59" s="183" t="str">
        <f>IF(E59="M",IF(Tabla27[[#This Row],[Tiempo]]="AB","",LOOKUP(Tabla27[[#This Row],[CLAS SCRATCH]],'Datos puntos'!$A$2:$A$23,'Datos puntos'!$B$2:$B$23)),"")</f>
        <v/>
      </c>
      <c r="N59" s="183" t="str">
        <f>Tabla27[[#This Row],[CLAS SCRATCH]]</f>
        <v/>
      </c>
      <c r="O59" s="183" t="str">
        <f>IF(E59="M",IF(Tabla27[[#This Row],[Tiempo]]="AB","",LOOKUP(Tabla27[[#This Row],[CLAS CLASE]],'Datos puntos'!$A$25:$A$53,'Datos puntos'!$B$25:$B$53)),"")</f>
        <v/>
      </c>
      <c r="P59" s="183" t="str">
        <f>IF(Tabla27[[#This Row],[Puntos scratch]]="","NO PUNTÚA",SUM(Tabla27[[#This Row],[Puntos scratch]],Tabla27[[#This Row],[Puntos clase]])*2)</f>
        <v>NO PUNTÚA</v>
      </c>
      <c r="Q59" s="183" t="str">
        <f>IF(AND(G59="M",Tabla27[[#This Row],[POS]]&lt;&gt;"AB",Tabla27[[#This Row],[POS]]&lt;&gt;"DSQ"),COUNTIF($G$58:G59,"M"),"")</f>
        <v/>
      </c>
      <c r="R59" s="183" t="str">
        <f>IF(G59="M",IF(Tabla27[[#This Row],[Tiempo]]="AB","",LOOKUP(Tabla27[[#This Row],[CLAS SCRATCH2]],'Datos puntos'!$A$2:$A$23,'Datos puntos'!$B$2:$B$23)),"")</f>
        <v/>
      </c>
      <c r="S59" s="183" t="str">
        <f>Tabla27[[#This Row],[CLAS SCRATCH]]</f>
        <v/>
      </c>
      <c r="T59" s="183" t="str">
        <f>IF(G59="M",IF(Tabla27[[#This Row],[Tiempo]]="AB","",LOOKUP(Tabla27[[#This Row],[CLAS CLASE2]],'Datos puntos'!$A$25:$A$53,'Datos puntos'!$B$25:$B$53)),"")</f>
        <v/>
      </c>
      <c r="U59" s="183" t="str">
        <f>IF(Tabla27[[#This Row],[Puntos scratch]]="","NO PUNTÚA",SUM(Tabla27[[#This Row],[Puntos scratch]],Tabla27[[#This Row],[Puntos clase]])*2)</f>
        <v>NO PUNTÚA</v>
      </c>
    </row>
    <row r="60" spans="1:24" x14ac:dyDescent="0.35">
      <c r="A60" s="188"/>
      <c r="B60" s="176"/>
      <c r="C60" s="179"/>
      <c r="D60" s="179"/>
      <c r="E60" s="179"/>
      <c r="F60" s="179"/>
      <c r="G60" s="179"/>
      <c r="H60" s="179"/>
      <c r="I60" s="180"/>
      <c r="J60" s="180"/>
      <c r="K60" s="187"/>
      <c r="L60" s="183" t="str">
        <f>IF(AND(E60="M",Tabla27[[#This Row],[POS]]&lt;&gt;"AB",Tabla27[[#This Row],[POS]]&lt;&gt;"DSQ"),COUNTIF($E$58:E60,"M"),"")</f>
        <v/>
      </c>
      <c r="M60" s="183" t="str">
        <f>IF(E60="M",IF(Tabla27[[#This Row],[Tiempo]]="AB","",LOOKUP(Tabla27[[#This Row],[CLAS SCRATCH]],'Datos puntos'!$A$2:$A$23,'Datos puntos'!$B$2:$B$23)),"")</f>
        <v/>
      </c>
      <c r="N60" s="183" t="str">
        <f>Tabla27[[#This Row],[CLAS SCRATCH]]</f>
        <v/>
      </c>
      <c r="O60" s="183" t="str">
        <f>IF(E60="M",IF(Tabla27[[#This Row],[Tiempo]]="AB","",LOOKUP(Tabla27[[#This Row],[CLAS CLASE]],'Datos puntos'!$A$25:$A$53,'Datos puntos'!$B$25:$B$53)),"")</f>
        <v/>
      </c>
      <c r="P60" s="183" t="str">
        <f>IF(Tabla27[[#This Row],[Puntos scratch]]="","NO PUNTÚA",SUM(Tabla27[[#This Row],[Puntos scratch]],Tabla27[[#This Row],[Puntos clase]])*2)</f>
        <v>NO PUNTÚA</v>
      </c>
      <c r="Q60" s="183" t="str">
        <f>IF(AND(G60="M",Tabla27[[#This Row],[POS]]&lt;&gt;"AB",Tabla27[[#This Row],[POS]]&lt;&gt;"DSQ"),COUNTIF($G$58:G60,"M"),"")</f>
        <v/>
      </c>
      <c r="R60" s="183" t="str">
        <f>IF(G60="M",IF(Tabla27[[#This Row],[Tiempo]]="AB","",LOOKUP(Tabla27[[#This Row],[CLAS SCRATCH2]],'Datos puntos'!$A$2:$A$23,'Datos puntos'!$B$2:$B$23)),"")</f>
        <v/>
      </c>
      <c r="S60" s="183" t="str">
        <f>Tabla27[[#This Row],[CLAS SCRATCH]]</f>
        <v/>
      </c>
      <c r="T60" s="183" t="str">
        <f>IF(G60="M",IF(Tabla27[[#This Row],[Tiempo]]="AB","",LOOKUP(Tabla27[[#This Row],[CLAS CLASE2]],'Datos puntos'!$A$25:$A$53,'Datos puntos'!$B$25:$B$53)),"")</f>
        <v/>
      </c>
      <c r="U60" s="183" t="str">
        <f>IF(Tabla27[[#This Row],[Puntos scratch]]="","NO PUNTÚA",SUM(Tabla27[[#This Row],[Puntos scratch]],Tabla27[[#This Row],[Puntos clase]])*2)</f>
        <v>NO PUNTÚA</v>
      </c>
    </row>
    <row r="61" spans="1:24" x14ac:dyDescent="0.35">
      <c r="A61" s="193"/>
      <c r="B61" s="176"/>
      <c r="C61" s="179"/>
      <c r="D61" s="179"/>
      <c r="E61" s="179"/>
      <c r="F61" s="179"/>
      <c r="G61" s="179"/>
      <c r="H61" s="179"/>
      <c r="I61" s="180"/>
      <c r="J61" s="180"/>
      <c r="K61" s="187"/>
      <c r="L61" s="183" t="str">
        <f>IF(AND(E61="M",Tabla27[[#This Row],[POS]]&lt;&gt;"AB",Tabla27[[#This Row],[POS]]&lt;&gt;"DSQ"),COUNTIF($E$58:E61,"M"),"")</f>
        <v/>
      </c>
      <c r="M61" s="183" t="str">
        <f>IF(E61="M",IF(Tabla27[[#This Row],[Tiempo]]="AB","",LOOKUP(Tabla27[[#This Row],[CLAS SCRATCH]],'Datos puntos'!$A$2:$A$23,'Datos puntos'!$B$2:$B$23)),"")</f>
        <v/>
      </c>
      <c r="N61" s="183" t="str">
        <f>Tabla27[[#This Row],[CLAS SCRATCH]]</f>
        <v/>
      </c>
      <c r="O61" s="183" t="str">
        <f>IF(E61="M",IF(Tabla27[[#This Row],[Tiempo]]="AB","",LOOKUP(Tabla27[[#This Row],[CLAS CLASE]],'Datos puntos'!$A$25:$A$53,'Datos puntos'!$B$25:$B$53)),"")</f>
        <v/>
      </c>
      <c r="P61" s="183" t="str">
        <f>IF(Tabla27[[#This Row],[Puntos scratch]]="","NO PUNTÚA",SUM(Tabla27[[#This Row],[Puntos scratch]],Tabla27[[#This Row],[Puntos clase]])*2)</f>
        <v>NO PUNTÚA</v>
      </c>
      <c r="Q61" s="183" t="str">
        <f>IF(AND(G61="M",Tabla27[[#This Row],[POS]]&lt;&gt;"AB",Tabla27[[#This Row],[POS]]&lt;&gt;"DSQ"),COUNTIF($G$58:G61,"M"),"")</f>
        <v/>
      </c>
      <c r="R61" s="183" t="str">
        <f>IF(G61="M",IF(Tabla27[[#This Row],[Tiempo]]="AB","",LOOKUP(Tabla27[[#This Row],[CLAS SCRATCH2]],'Datos puntos'!$A$2:$A$23,'Datos puntos'!$B$2:$B$23)),"")</f>
        <v/>
      </c>
      <c r="S61" s="183" t="str">
        <f>Tabla27[[#This Row],[CLAS SCRATCH]]</f>
        <v/>
      </c>
      <c r="T61" s="183" t="str">
        <f>IF(G61="M",IF(Tabla27[[#This Row],[Tiempo]]="AB","",LOOKUP(Tabla27[[#This Row],[CLAS CLASE2]],'Datos puntos'!$A$25:$A$53,'Datos puntos'!$B$25:$B$53)),"")</f>
        <v/>
      </c>
      <c r="U61" s="183" t="str">
        <f>IF(Tabla27[[#This Row],[Puntos scratch]]="","NO PUNTÚA",SUM(Tabla27[[#This Row],[Puntos scratch]],Tabla27[[#This Row],[Puntos clase]])*2)</f>
        <v>NO PUNTÚA</v>
      </c>
    </row>
    <row r="62" spans="1:24" x14ac:dyDescent="0.35">
      <c r="A62" s="193"/>
      <c r="B62" s="176"/>
      <c r="C62" s="179"/>
      <c r="D62" s="179"/>
      <c r="E62" s="179"/>
      <c r="F62" s="179"/>
      <c r="G62" s="179"/>
      <c r="H62" s="179"/>
      <c r="I62" s="180"/>
      <c r="J62" s="180"/>
      <c r="K62" s="187"/>
      <c r="L62" s="189"/>
      <c r="M62" s="189"/>
      <c r="N62" s="182"/>
      <c r="O62" s="183"/>
      <c r="P62" s="183"/>
      <c r="Q62" s="183"/>
      <c r="R62" s="183"/>
      <c r="S62" s="183"/>
      <c r="T62" s="183"/>
      <c r="U62" s="183"/>
      <c r="V62" s="183"/>
      <c r="W62" s="183"/>
      <c r="X62" s="183"/>
    </row>
    <row r="63" spans="1:24" x14ac:dyDescent="0.35">
      <c r="I63" s="172"/>
      <c r="J63" s="172"/>
      <c r="K63" s="191"/>
      <c r="L63" s="182" t="s">
        <v>345</v>
      </c>
      <c r="M63" s="192"/>
      <c r="N63" s="192"/>
      <c r="P63" s="182"/>
      <c r="Q63" s="199"/>
      <c r="R63" s="199"/>
      <c r="S63" s="199"/>
    </row>
    <row r="64" spans="1:24" x14ac:dyDescent="0.35">
      <c r="A64" s="213" t="s">
        <v>190</v>
      </c>
      <c r="B64" s="186" t="s">
        <v>191</v>
      </c>
      <c r="C64" s="186" t="s">
        <v>192</v>
      </c>
      <c r="D64" s="186" t="s">
        <v>347</v>
      </c>
      <c r="E64" s="186" t="s">
        <v>194</v>
      </c>
      <c r="F64" s="186" t="s">
        <v>197</v>
      </c>
      <c r="G64" s="186" t="s">
        <v>198</v>
      </c>
      <c r="H64" s="186" t="s">
        <v>2</v>
      </c>
      <c r="I64" s="213" t="s">
        <v>199</v>
      </c>
      <c r="J64" s="214" t="s">
        <v>214</v>
      </c>
      <c r="K64" s="214" t="s">
        <v>217</v>
      </c>
      <c r="L64" s="214" t="s">
        <v>254</v>
      </c>
      <c r="M64" s="214" t="s">
        <v>218</v>
      </c>
      <c r="N64" s="214" t="s">
        <v>219</v>
      </c>
    </row>
    <row r="65" spans="1:14" x14ac:dyDescent="0.35">
      <c r="A65" s="188"/>
      <c r="B65" s="176"/>
      <c r="C65" s="179"/>
      <c r="D65" s="179"/>
      <c r="E65" s="179"/>
      <c r="F65" s="179"/>
      <c r="G65" s="180"/>
      <c r="H65" s="180"/>
      <c r="I65" s="187"/>
      <c r="J65" s="183" t="str">
        <f>IF(AND(E65="M",Tabla2311[[#This Row],[POS]]&lt;&gt;"AB",Tabla2311[[#This Row],[POS]]&lt;&gt;"DSQ"),COUNTIF($E$65:E65,"M"),"")</f>
        <v/>
      </c>
      <c r="K65" s="183" t="str">
        <f>IF(E65="M",IF(Tabla2311[[#This Row],[Tiempo]]="AB","",LOOKUP(Tabla2311[[#This Row],[CLAS SCRATCH]],'Datos puntos'!$A$2:$A$23,'Datos puntos'!$B$2:$B$23)),"")</f>
        <v/>
      </c>
      <c r="L65" s="182" t="str">
        <f>Tabla2311[[#This Row],[CLAS SCRATCH]]</f>
        <v/>
      </c>
      <c r="M65" s="183" t="str">
        <f>IF(E65="M",IF(Tabla2311[[#This Row],[Tiempo]]="AB","",LOOKUP(Tabla2311[[#This Row],[CLAS CLASE]],'Datos puntos'!$A$25:$A$53,'Datos puntos'!$B$25:$B$53)),"")</f>
        <v/>
      </c>
      <c r="N65" s="183" t="str">
        <f>IF(Tabla2311[[#This Row],[Puntos scratch]]="","NO PUNTÚA",SUM(Tabla2311[[#This Row],[Puntos scratch]],Tabla2311[[#This Row],[Puntos clase]])*2)</f>
        <v>NO PUNTÚA</v>
      </c>
    </row>
    <row r="66" spans="1:14" x14ac:dyDescent="0.35">
      <c r="A66" s="193"/>
      <c r="B66" s="176"/>
      <c r="C66" s="179"/>
      <c r="D66" s="179"/>
      <c r="E66" s="179"/>
      <c r="F66" s="179"/>
      <c r="G66" s="180"/>
      <c r="H66" s="180"/>
      <c r="I66" s="187"/>
      <c r="J66" s="183" t="str">
        <f>IF(AND(E66="M",Tabla2311[[#This Row],[POS]]&lt;&gt;"AB",Tabla2311[[#This Row],[POS]]&lt;&gt;"DSQ"),COUNTIF($E$65:E66,"M"),"")</f>
        <v/>
      </c>
      <c r="K66" s="183" t="str">
        <f>IF(E66="M",IF(Tabla2311[[#This Row],[Tiempo]]="AB","",LOOKUP(Tabla2311[[#This Row],[CLAS SCRATCH]],'Datos puntos'!$A$2:$A$23,'Datos puntos'!$B$2:$B$23)),"")</f>
        <v/>
      </c>
      <c r="L66" s="183" t="str">
        <f>Tabla2311[[#This Row],[CLAS SCRATCH]]</f>
        <v/>
      </c>
      <c r="M66" s="183" t="str">
        <f>IF(E66="M",IF(Tabla2311[[#This Row],[Tiempo]]="AB","",LOOKUP(Tabla2311[[#This Row],[CLAS CLASE]],'Datos puntos'!$A$25:$A$53,'Datos puntos'!$B$25:$B$53)),"")</f>
        <v/>
      </c>
      <c r="N66" s="183" t="str">
        <f>IF(Tabla2311[[#This Row],[Puntos scratch]]="","NO PUNTÚA",SUM(Tabla2311[[#This Row],[Puntos scratch]],Tabla2311[[#This Row],[Puntos clase]])*2)</f>
        <v>NO PUNTÚA</v>
      </c>
    </row>
    <row r="67" spans="1:14" x14ac:dyDescent="0.35">
      <c r="A67" s="188"/>
      <c r="B67" s="176"/>
      <c r="C67" s="179"/>
      <c r="D67" s="179"/>
      <c r="E67" s="179"/>
      <c r="F67" s="179"/>
      <c r="G67" s="180"/>
      <c r="H67" s="180"/>
      <c r="I67" s="187"/>
      <c r="J67" s="183" t="str">
        <f>IF(AND(E67="M",Tabla2311[[#This Row],[POS]]&lt;&gt;"AB",Tabla2311[[#This Row],[POS]]&lt;&gt;"DSQ"),COUNTIF($E$65:E67,"M"),"")</f>
        <v/>
      </c>
      <c r="K67" s="183" t="str">
        <f>IF(E67="M",IF(Tabla2311[[#This Row],[Tiempo]]="AB","",LOOKUP(Tabla2311[[#This Row],[CLAS SCRATCH]],'Datos puntos'!$A$2:$A$23,'Datos puntos'!$B$2:$B$23)),"")</f>
        <v/>
      </c>
      <c r="L67" s="183" t="str">
        <f>Tabla2311[[#This Row],[CLAS SCRATCH]]</f>
        <v/>
      </c>
      <c r="M67" s="183" t="str">
        <f>IF(E67="M",IF(Tabla2311[[#This Row],[Tiempo]]="AB","",LOOKUP(Tabla2311[[#This Row],[CLAS CLASE]],'Datos puntos'!$A$25:$A$53,'Datos puntos'!$B$25:$B$53)),"")</f>
        <v/>
      </c>
      <c r="N67" s="183" t="str">
        <f>IF(Tabla2311[[#This Row],[Puntos scratch]]="","NO PUNTÚA",SUM(Tabla2311[[#This Row],[Puntos scratch]],Tabla2311[[#This Row],[Puntos clase]])*2)</f>
        <v>NO PUNTÚA</v>
      </c>
    </row>
    <row r="68" spans="1:14" x14ac:dyDescent="0.35">
      <c r="A68" s="193"/>
      <c r="B68" s="176"/>
      <c r="C68" s="179"/>
      <c r="D68" s="179"/>
      <c r="E68" s="179"/>
      <c r="F68" s="179"/>
      <c r="G68" s="180"/>
      <c r="H68" s="180"/>
      <c r="I68" s="187"/>
      <c r="J68" s="183"/>
      <c r="K68" s="183"/>
      <c r="L68" s="183"/>
      <c r="M68" s="183"/>
      <c r="N68" s="183"/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50" fitToHeight="0" orientation="landscape" r:id="rId1"/>
  <headerFooter>
    <oddHeader>&amp;R&amp;"Canaro Light"&amp;10&amp;K000000 Internal Use&amp;1#_x000D_</oddHeader>
  </headerFooter>
  <rowBreaks count="1" manualBreakCount="1">
    <brk id="62" max="14" man="1"/>
  </rowBreaks>
  <colBreaks count="1" manualBreakCount="1">
    <brk id="8" max="51" man="1"/>
  </colBreaks>
  <tableParts count="5">
    <tablePart r:id="rId2"/>
    <tablePart r:id="rId3"/>
    <tablePart r:id="rId4"/>
    <tablePart r:id="rId5"/>
    <tablePart r:id="rId6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DDDC1-A144-4DD7-BD8C-D7AA93201797}">
  <dimension ref="A1:AA68"/>
  <sheetViews>
    <sheetView topLeftCell="D34" zoomScale="85" zoomScaleNormal="85" zoomScaleSheetLayoutView="80" zoomScalePageLayoutView="78" workbookViewId="0">
      <selection activeCell="C51" sqref="C51:J51"/>
    </sheetView>
  </sheetViews>
  <sheetFormatPr baseColWidth="10" defaultColWidth="10.69921875" defaultRowHeight="14.5" x14ac:dyDescent="0.35"/>
  <cols>
    <col min="1" max="1" width="9" style="190" customWidth="1"/>
    <col min="2" max="2" width="6.296875" style="172" customWidth="1"/>
    <col min="3" max="3" width="36.5" style="172" bestFit="1" customWidth="1"/>
    <col min="4" max="4" width="45.5" style="172" bestFit="1" customWidth="1"/>
    <col min="5" max="5" width="8.796875" style="172" customWidth="1"/>
    <col min="6" max="6" width="47.19921875" style="172" customWidth="1"/>
    <col min="7" max="7" width="10.19921875" style="172" customWidth="1"/>
    <col min="8" max="8" width="41.796875" style="172" customWidth="1"/>
    <col min="9" max="9" width="11.19921875" style="196" customWidth="1"/>
    <col min="10" max="10" width="10.5" style="196" customWidth="1"/>
    <col min="11" max="11" width="12.796875" style="197" bestFit="1" customWidth="1"/>
    <col min="12" max="12" width="17.19921875" style="172" bestFit="1" customWidth="1"/>
    <col min="13" max="13" width="22" style="172" bestFit="1" customWidth="1"/>
    <col min="14" max="14" width="21.5" style="172" bestFit="1" customWidth="1"/>
    <col min="15" max="15" width="26" style="172" bestFit="1" customWidth="1"/>
    <col min="16" max="16" width="25" style="172" bestFit="1" customWidth="1"/>
    <col min="17" max="17" width="20.69921875" style="172" bestFit="1" customWidth="1"/>
    <col min="18" max="18" width="22.296875" style="172" bestFit="1" customWidth="1"/>
    <col min="19" max="19" width="34.796875" style="172" bestFit="1" customWidth="1"/>
    <col min="20" max="20" width="28.5" style="172" customWidth="1"/>
    <col min="21" max="21" width="23" style="172" bestFit="1" customWidth="1"/>
    <col min="22" max="22" width="19.19921875" style="172" bestFit="1" customWidth="1"/>
    <col min="23" max="23" width="21" style="172" bestFit="1" customWidth="1"/>
    <col min="24" max="24" width="32.19921875" style="172" bestFit="1" customWidth="1"/>
    <col min="25" max="25" width="10.69921875" style="172"/>
    <col min="26" max="26" width="25.69921875" style="172" bestFit="1" customWidth="1"/>
    <col min="27" max="256" width="10.69921875" style="172"/>
    <col min="257" max="257" width="9" style="172" customWidth="1"/>
    <col min="258" max="258" width="6.296875" style="172" customWidth="1"/>
    <col min="259" max="259" width="33.5" style="172" bestFit="1" customWidth="1"/>
    <col min="260" max="260" width="45.5" style="172" bestFit="1" customWidth="1"/>
    <col min="261" max="261" width="8.796875" style="172" customWidth="1"/>
    <col min="262" max="262" width="47.19921875" style="172" customWidth="1"/>
    <col min="263" max="263" width="10.19921875" style="172" customWidth="1"/>
    <col min="264" max="264" width="41.796875" style="172" customWidth="1"/>
    <col min="265" max="265" width="11.19921875" style="172" customWidth="1"/>
    <col min="266" max="266" width="10.5" style="172" customWidth="1"/>
    <col min="267" max="267" width="16" style="172" bestFit="1" customWidth="1"/>
    <col min="268" max="268" width="13.19921875" style="172" customWidth="1"/>
    <col min="269" max="269" width="11.796875" style="172" customWidth="1"/>
    <col min="270" max="270" width="9.69921875" style="172" customWidth="1"/>
    <col min="271" max="512" width="10.69921875" style="172"/>
    <col min="513" max="513" width="9" style="172" customWidth="1"/>
    <col min="514" max="514" width="6.296875" style="172" customWidth="1"/>
    <col min="515" max="515" width="33.5" style="172" bestFit="1" customWidth="1"/>
    <col min="516" max="516" width="45.5" style="172" bestFit="1" customWidth="1"/>
    <col min="517" max="517" width="8.796875" style="172" customWidth="1"/>
    <col min="518" max="518" width="47.19921875" style="172" customWidth="1"/>
    <col min="519" max="519" width="10.19921875" style="172" customWidth="1"/>
    <col min="520" max="520" width="41.796875" style="172" customWidth="1"/>
    <col min="521" max="521" width="11.19921875" style="172" customWidth="1"/>
    <col min="522" max="522" width="10.5" style="172" customWidth="1"/>
    <col min="523" max="523" width="16" style="172" bestFit="1" customWidth="1"/>
    <col min="524" max="524" width="13.19921875" style="172" customWidth="1"/>
    <col min="525" max="525" width="11.796875" style="172" customWidth="1"/>
    <col min="526" max="526" width="9.69921875" style="172" customWidth="1"/>
    <col min="527" max="768" width="10.69921875" style="172"/>
    <col min="769" max="769" width="9" style="172" customWidth="1"/>
    <col min="770" max="770" width="6.296875" style="172" customWidth="1"/>
    <col min="771" max="771" width="33.5" style="172" bestFit="1" customWidth="1"/>
    <col min="772" max="772" width="45.5" style="172" bestFit="1" customWidth="1"/>
    <col min="773" max="773" width="8.796875" style="172" customWidth="1"/>
    <col min="774" max="774" width="47.19921875" style="172" customWidth="1"/>
    <col min="775" max="775" width="10.19921875" style="172" customWidth="1"/>
    <col min="776" max="776" width="41.796875" style="172" customWidth="1"/>
    <col min="777" max="777" width="11.19921875" style="172" customWidth="1"/>
    <col min="778" max="778" width="10.5" style="172" customWidth="1"/>
    <col min="779" max="779" width="16" style="172" bestFit="1" customWidth="1"/>
    <col min="780" max="780" width="13.19921875" style="172" customWidth="1"/>
    <col min="781" max="781" width="11.796875" style="172" customWidth="1"/>
    <col min="782" max="782" width="9.69921875" style="172" customWidth="1"/>
    <col min="783" max="1024" width="10.69921875" style="172"/>
    <col min="1025" max="1025" width="9" style="172" customWidth="1"/>
    <col min="1026" max="1026" width="6.296875" style="172" customWidth="1"/>
    <col min="1027" max="1027" width="33.5" style="172" bestFit="1" customWidth="1"/>
    <col min="1028" max="1028" width="45.5" style="172" bestFit="1" customWidth="1"/>
    <col min="1029" max="1029" width="8.796875" style="172" customWidth="1"/>
    <col min="1030" max="1030" width="47.19921875" style="172" customWidth="1"/>
    <col min="1031" max="1031" width="10.19921875" style="172" customWidth="1"/>
    <col min="1032" max="1032" width="41.796875" style="172" customWidth="1"/>
    <col min="1033" max="1033" width="11.19921875" style="172" customWidth="1"/>
    <col min="1034" max="1034" width="10.5" style="172" customWidth="1"/>
    <col min="1035" max="1035" width="16" style="172" bestFit="1" customWidth="1"/>
    <col min="1036" max="1036" width="13.19921875" style="172" customWidth="1"/>
    <col min="1037" max="1037" width="11.796875" style="172" customWidth="1"/>
    <col min="1038" max="1038" width="9.69921875" style="172" customWidth="1"/>
    <col min="1039" max="1280" width="10.69921875" style="172"/>
    <col min="1281" max="1281" width="9" style="172" customWidth="1"/>
    <col min="1282" max="1282" width="6.296875" style="172" customWidth="1"/>
    <col min="1283" max="1283" width="33.5" style="172" bestFit="1" customWidth="1"/>
    <col min="1284" max="1284" width="45.5" style="172" bestFit="1" customWidth="1"/>
    <col min="1285" max="1285" width="8.796875" style="172" customWidth="1"/>
    <col min="1286" max="1286" width="47.19921875" style="172" customWidth="1"/>
    <col min="1287" max="1287" width="10.19921875" style="172" customWidth="1"/>
    <col min="1288" max="1288" width="41.796875" style="172" customWidth="1"/>
    <col min="1289" max="1289" width="11.19921875" style="172" customWidth="1"/>
    <col min="1290" max="1290" width="10.5" style="172" customWidth="1"/>
    <col min="1291" max="1291" width="16" style="172" bestFit="1" customWidth="1"/>
    <col min="1292" max="1292" width="13.19921875" style="172" customWidth="1"/>
    <col min="1293" max="1293" width="11.796875" style="172" customWidth="1"/>
    <col min="1294" max="1294" width="9.69921875" style="172" customWidth="1"/>
    <col min="1295" max="1536" width="10.69921875" style="172"/>
    <col min="1537" max="1537" width="9" style="172" customWidth="1"/>
    <col min="1538" max="1538" width="6.296875" style="172" customWidth="1"/>
    <col min="1539" max="1539" width="33.5" style="172" bestFit="1" customWidth="1"/>
    <col min="1540" max="1540" width="45.5" style="172" bestFit="1" customWidth="1"/>
    <col min="1541" max="1541" width="8.796875" style="172" customWidth="1"/>
    <col min="1542" max="1542" width="47.19921875" style="172" customWidth="1"/>
    <col min="1543" max="1543" width="10.19921875" style="172" customWidth="1"/>
    <col min="1544" max="1544" width="41.796875" style="172" customWidth="1"/>
    <col min="1545" max="1545" width="11.19921875" style="172" customWidth="1"/>
    <col min="1546" max="1546" width="10.5" style="172" customWidth="1"/>
    <col min="1547" max="1547" width="16" style="172" bestFit="1" customWidth="1"/>
    <col min="1548" max="1548" width="13.19921875" style="172" customWidth="1"/>
    <col min="1549" max="1549" width="11.796875" style="172" customWidth="1"/>
    <col min="1550" max="1550" width="9.69921875" style="172" customWidth="1"/>
    <col min="1551" max="1792" width="10.69921875" style="172"/>
    <col min="1793" max="1793" width="9" style="172" customWidth="1"/>
    <col min="1794" max="1794" width="6.296875" style="172" customWidth="1"/>
    <col min="1795" max="1795" width="33.5" style="172" bestFit="1" customWidth="1"/>
    <col min="1796" max="1796" width="45.5" style="172" bestFit="1" customWidth="1"/>
    <col min="1797" max="1797" width="8.796875" style="172" customWidth="1"/>
    <col min="1798" max="1798" width="47.19921875" style="172" customWidth="1"/>
    <col min="1799" max="1799" width="10.19921875" style="172" customWidth="1"/>
    <col min="1800" max="1800" width="41.796875" style="172" customWidth="1"/>
    <col min="1801" max="1801" width="11.19921875" style="172" customWidth="1"/>
    <col min="1802" max="1802" width="10.5" style="172" customWidth="1"/>
    <col min="1803" max="1803" width="16" style="172" bestFit="1" customWidth="1"/>
    <col min="1804" max="1804" width="13.19921875" style="172" customWidth="1"/>
    <col min="1805" max="1805" width="11.796875" style="172" customWidth="1"/>
    <col min="1806" max="1806" width="9.69921875" style="172" customWidth="1"/>
    <col min="1807" max="2048" width="10.69921875" style="172"/>
    <col min="2049" max="2049" width="9" style="172" customWidth="1"/>
    <col min="2050" max="2050" width="6.296875" style="172" customWidth="1"/>
    <col min="2051" max="2051" width="33.5" style="172" bestFit="1" customWidth="1"/>
    <col min="2052" max="2052" width="45.5" style="172" bestFit="1" customWidth="1"/>
    <col min="2053" max="2053" width="8.796875" style="172" customWidth="1"/>
    <col min="2054" max="2054" width="47.19921875" style="172" customWidth="1"/>
    <col min="2055" max="2055" width="10.19921875" style="172" customWidth="1"/>
    <col min="2056" max="2056" width="41.796875" style="172" customWidth="1"/>
    <col min="2057" max="2057" width="11.19921875" style="172" customWidth="1"/>
    <col min="2058" max="2058" width="10.5" style="172" customWidth="1"/>
    <col min="2059" max="2059" width="16" style="172" bestFit="1" customWidth="1"/>
    <col min="2060" max="2060" width="13.19921875" style="172" customWidth="1"/>
    <col min="2061" max="2061" width="11.796875" style="172" customWidth="1"/>
    <col min="2062" max="2062" width="9.69921875" style="172" customWidth="1"/>
    <col min="2063" max="2304" width="10.69921875" style="172"/>
    <col min="2305" max="2305" width="9" style="172" customWidth="1"/>
    <col min="2306" max="2306" width="6.296875" style="172" customWidth="1"/>
    <col min="2307" max="2307" width="33.5" style="172" bestFit="1" customWidth="1"/>
    <col min="2308" max="2308" width="45.5" style="172" bestFit="1" customWidth="1"/>
    <col min="2309" max="2309" width="8.796875" style="172" customWidth="1"/>
    <col min="2310" max="2310" width="47.19921875" style="172" customWidth="1"/>
    <col min="2311" max="2311" width="10.19921875" style="172" customWidth="1"/>
    <col min="2312" max="2312" width="41.796875" style="172" customWidth="1"/>
    <col min="2313" max="2313" width="11.19921875" style="172" customWidth="1"/>
    <col min="2314" max="2314" width="10.5" style="172" customWidth="1"/>
    <col min="2315" max="2315" width="16" style="172" bestFit="1" customWidth="1"/>
    <col min="2316" max="2316" width="13.19921875" style="172" customWidth="1"/>
    <col min="2317" max="2317" width="11.796875" style="172" customWidth="1"/>
    <col min="2318" max="2318" width="9.69921875" style="172" customWidth="1"/>
    <col min="2319" max="2560" width="10.69921875" style="172"/>
    <col min="2561" max="2561" width="9" style="172" customWidth="1"/>
    <col min="2562" max="2562" width="6.296875" style="172" customWidth="1"/>
    <col min="2563" max="2563" width="33.5" style="172" bestFit="1" customWidth="1"/>
    <col min="2564" max="2564" width="45.5" style="172" bestFit="1" customWidth="1"/>
    <col min="2565" max="2565" width="8.796875" style="172" customWidth="1"/>
    <col min="2566" max="2566" width="47.19921875" style="172" customWidth="1"/>
    <col min="2567" max="2567" width="10.19921875" style="172" customWidth="1"/>
    <col min="2568" max="2568" width="41.796875" style="172" customWidth="1"/>
    <col min="2569" max="2569" width="11.19921875" style="172" customWidth="1"/>
    <col min="2570" max="2570" width="10.5" style="172" customWidth="1"/>
    <col min="2571" max="2571" width="16" style="172" bestFit="1" customWidth="1"/>
    <col min="2572" max="2572" width="13.19921875" style="172" customWidth="1"/>
    <col min="2573" max="2573" width="11.796875" style="172" customWidth="1"/>
    <col min="2574" max="2574" width="9.69921875" style="172" customWidth="1"/>
    <col min="2575" max="2816" width="10.69921875" style="172"/>
    <col min="2817" max="2817" width="9" style="172" customWidth="1"/>
    <col min="2818" max="2818" width="6.296875" style="172" customWidth="1"/>
    <col min="2819" max="2819" width="33.5" style="172" bestFit="1" customWidth="1"/>
    <col min="2820" max="2820" width="45.5" style="172" bestFit="1" customWidth="1"/>
    <col min="2821" max="2821" width="8.796875" style="172" customWidth="1"/>
    <col min="2822" max="2822" width="47.19921875" style="172" customWidth="1"/>
    <col min="2823" max="2823" width="10.19921875" style="172" customWidth="1"/>
    <col min="2824" max="2824" width="41.796875" style="172" customWidth="1"/>
    <col min="2825" max="2825" width="11.19921875" style="172" customWidth="1"/>
    <col min="2826" max="2826" width="10.5" style="172" customWidth="1"/>
    <col min="2827" max="2827" width="16" style="172" bestFit="1" customWidth="1"/>
    <col min="2828" max="2828" width="13.19921875" style="172" customWidth="1"/>
    <col min="2829" max="2829" width="11.796875" style="172" customWidth="1"/>
    <col min="2830" max="2830" width="9.69921875" style="172" customWidth="1"/>
    <col min="2831" max="3072" width="10.69921875" style="172"/>
    <col min="3073" max="3073" width="9" style="172" customWidth="1"/>
    <col min="3074" max="3074" width="6.296875" style="172" customWidth="1"/>
    <col min="3075" max="3075" width="33.5" style="172" bestFit="1" customWidth="1"/>
    <col min="3076" max="3076" width="45.5" style="172" bestFit="1" customWidth="1"/>
    <col min="3077" max="3077" width="8.796875" style="172" customWidth="1"/>
    <col min="3078" max="3078" width="47.19921875" style="172" customWidth="1"/>
    <col min="3079" max="3079" width="10.19921875" style="172" customWidth="1"/>
    <col min="3080" max="3080" width="41.796875" style="172" customWidth="1"/>
    <col min="3081" max="3081" width="11.19921875" style="172" customWidth="1"/>
    <col min="3082" max="3082" width="10.5" style="172" customWidth="1"/>
    <col min="3083" max="3083" width="16" style="172" bestFit="1" customWidth="1"/>
    <col min="3084" max="3084" width="13.19921875" style="172" customWidth="1"/>
    <col min="3085" max="3085" width="11.796875" style="172" customWidth="1"/>
    <col min="3086" max="3086" width="9.69921875" style="172" customWidth="1"/>
    <col min="3087" max="3328" width="10.69921875" style="172"/>
    <col min="3329" max="3329" width="9" style="172" customWidth="1"/>
    <col min="3330" max="3330" width="6.296875" style="172" customWidth="1"/>
    <col min="3331" max="3331" width="33.5" style="172" bestFit="1" customWidth="1"/>
    <col min="3332" max="3332" width="45.5" style="172" bestFit="1" customWidth="1"/>
    <col min="3333" max="3333" width="8.796875" style="172" customWidth="1"/>
    <col min="3334" max="3334" width="47.19921875" style="172" customWidth="1"/>
    <col min="3335" max="3335" width="10.19921875" style="172" customWidth="1"/>
    <col min="3336" max="3336" width="41.796875" style="172" customWidth="1"/>
    <col min="3337" max="3337" width="11.19921875" style="172" customWidth="1"/>
    <col min="3338" max="3338" width="10.5" style="172" customWidth="1"/>
    <col min="3339" max="3339" width="16" style="172" bestFit="1" customWidth="1"/>
    <col min="3340" max="3340" width="13.19921875" style="172" customWidth="1"/>
    <col min="3341" max="3341" width="11.796875" style="172" customWidth="1"/>
    <col min="3342" max="3342" width="9.69921875" style="172" customWidth="1"/>
    <col min="3343" max="3584" width="10.69921875" style="172"/>
    <col min="3585" max="3585" width="9" style="172" customWidth="1"/>
    <col min="3586" max="3586" width="6.296875" style="172" customWidth="1"/>
    <col min="3587" max="3587" width="33.5" style="172" bestFit="1" customWidth="1"/>
    <col min="3588" max="3588" width="45.5" style="172" bestFit="1" customWidth="1"/>
    <col min="3589" max="3589" width="8.796875" style="172" customWidth="1"/>
    <col min="3590" max="3590" width="47.19921875" style="172" customWidth="1"/>
    <col min="3591" max="3591" width="10.19921875" style="172" customWidth="1"/>
    <col min="3592" max="3592" width="41.796875" style="172" customWidth="1"/>
    <col min="3593" max="3593" width="11.19921875" style="172" customWidth="1"/>
    <col min="3594" max="3594" width="10.5" style="172" customWidth="1"/>
    <col min="3595" max="3595" width="16" style="172" bestFit="1" customWidth="1"/>
    <col min="3596" max="3596" width="13.19921875" style="172" customWidth="1"/>
    <col min="3597" max="3597" width="11.796875" style="172" customWidth="1"/>
    <col min="3598" max="3598" width="9.69921875" style="172" customWidth="1"/>
    <col min="3599" max="3840" width="10.69921875" style="172"/>
    <col min="3841" max="3841" width="9" style="172" customWidth="1"/>
    <col min="3842" max="3842" width="6.296875" style="172" customWidth="1"/>
    <col min="3843" max="3843" width="33.5" style="172" bestFit="1" customWidth="1"/>
    <col min="3844" max="3844" width="45.5" style="172" bestFit="1" customWidth="1"/>
    <col min="3845" max="3845" width="8.796875" style="172" customWidth="1"/>
    <col min="3846" max="3846" width="47.19921875" style="172" customWidth="1"/>
    <col min="3847" max="3847" width="10.19921875" style="172" customWidth="1"/>
    <col min="3848" max="3848" width="41.796875" style="172" customWidth="1"/>
    <col min="3849" max="3849" width="11.19921875" style="172" customWidth="1"/>
    <col min="3850" max="3850" width="10.5" style="172" customWidth="1"/>
    <col min="3851" max="3851" width="16" style="172" bestFit="1" customWidth="1"/>
    <col min="3852" max="3852" width="13.19921875" style="172" customWidth="1"/>
    <col min="3853" max="3853" width="11.796875" style="172" customWidth="1"/>
    <col min="3854" max="3854" width="9.69921875" style="172" customWidth="1"/>
    <col min="3855" max="4096" width="10.69921875" style="172"/>
    <col min="4097" max="4097" width="9" style="172" customWidth="1"/>
    <col min="4098" max="4098" width="6.296875" style="172" customWidth="1"/>
    <col min="4099" max="4099" width="33.5" style="172" bestFit="1" customWidth="1"/>
    <col min="4100" max="4100" width="45.5" style="172" bestFit="1" customWidth="1"/>
    <col min="4101" max="4101" width="8.796875" style="172" customWidth="1"/>
    <col min="4102" max="4102" width="47.19921875" style="172" customWidth="1"/>
    <col min="4103" max="4103" width="10.19921875" style="172" customWidth="1"/>
    <col min="4104" max="4104" width="41.796875" style="172" customWidth="1"/>
    <col min="4105" max="4105" width="11.19921875" style="172" customWidth="1"/>
    <col min="4106" max="4106" width="10.5" style="172" customWidth="1"/>
    <col min="4107" max="4107" width="16" style="172" bestFit="1" customWidth="1"/>
    <col min="4108" max="4108" width="13.19921875" style="172" customWidth="1"/>
    <col min="4109" max="4109" width="11.796875" style="172" customWidth="1"/>
    <col min="4110" max="4110" width="9.69921875" style="172" customWidth="1"/>
    <col min="4111" max="4352" width="10.69921875" style="172"/>
    <col min="4353" max="4353" width="9" style="172" customWidth="1"/>
    <col min="4354" max="4354" width="6.296875" style="172" customWidth="1"/>
    <col min="4355" max="4355" width="33.5" style="172" bestFit="1" customWidth="1"/>
    <col min="4356" max="4356" width="45.5" style="172" bestFit="1" customWidth="1"/>
    <col min="4357" max="4357" width="8.796875" style="172" customWidth="1"/>
    <col min="4358" max="4358" width="47.19921875" style="172" customWidth="1"/>
    <col min="4359" max="4359" width="10.19921875" style="172" customWidth="1"/>
    <col min="4360" max="4360" width="41.796875" style="172" customWidth="1"/>
    <col min="4361" max="4361" width="11.19921875" style="172" customWidth="1"/>
    <col min="4362" max="4362" width="10.5" style="172" customWidth="1"/>
    <col min="4363" max="4363" width="16" style="172" bestFit="1" customWidth="1"/>
    <col min="4364" max="4364" width="13.19921875" style="172" customWidth="1"/>
    <col min="4365" max="4365" width="11.796875" style="172" customWidth="1"/>
    <col min="4366" max="4366" width="9.69921875" style="172" customWidth="1"/>
    <col min="4367" max="4608" width="10.69921875" style="172"/>
    <col min="4609" max="4609" width="9" style="172" customWidth="1"/>
    <col min="4610" max="4610" width="6.296875" style="172" customWidth="1"/>
    <col min="4611" max="4611" width="33.5" style="172" bestFit="1" customWidth="1"/>
    <col min="4612" max="4612" width="45.5" style="172" bestFit="1" customWidth="1"/>
    <col min="4613" max="4613" width="8.796875" style="172" customWidth="1"/>
    <col min="4614" max="4614" width="47.19921875" style="172" customWidth="1"/>
    <col min="4615" max="4615" width="10.19921875" style="172" customWidth="1"/>
    <col min="4616" max="4616" width="41.796875" style="172" customWidth="1"/>
    <col min="4617" max="4617" width="11.19921875" style="172" customWidth="1"/>
    <col min="4618" max="4618" width="10.5" style="172" customWidth="1"/>
    <col min="4619" max="4619" width="16" style="172" bestFit="1" customWidth="1"/>
    <col min="4620" max="4620" width="13.19921875" style="172" customWidth="1"/>
    <col min="4621" max="4621" width="11.796875" style="172" customWidth="1"/>
    <col min="4622" max="4622" width="9.69921875" style="172" customWidth="1"/>
    <col min="4623" max="4864" width="10.69921875" style="172"/>
    <col min="4865" max="4865" width="9" style="172" customWidth="1"/>
    <col min="4866" max="4866" width="6.296875" style="172" customWidth="1"/>
    <col min="4867" max="4867" width="33.5" style="172" bestFit="1" customWidth="1"/>
    <col min="4868" max="4868" width="45.5" style="172" bestFit="1" customWidth="1"/>
    <col min="4869" max="4869" width="8.796875" style="172" customWidth="1"/>
    <col min="4870" max="4870" width="47.19921875" style="172" customWidth="1"/>
    <col min="4871" max="4871" width="10.19921875" style="172" customWidth="1"/>
    <col min="4872" max="4872" width="41.796875" style="172" customWidth="1"/>
    <col min="4873" max="4873" width="11.19921875" style="172" customWidth="1"/>
    <col min="4874" max="4874" width="10.5" style="172" customWidth="1"/>
    <col min="4875" max="4875" width="16" style="172" bestFit="1" customWidth="1"/>
    <col min="4876" max="4876" width="13.19921875" style="172" customWidth="1"/>
    <col min="4877" max="4877" width="11.796875" style="172" customWidth="1"/>
    <col min="4878" max="4878" width="9.69921875" style="172" customWidth="1"/>
    <col min="4879" max="5120" width="10.69921875" style="172"/>
    <col min="5121" max="5121" width="9" style="172" customWidth="1"/>
    <col min="5122" max="5122" width="6.296875" style="172" customWidth="1"/>
    <col min="5123" max="5123" width="33.5" style="172" bestFit="1" customWidth="1"/>
    <col min="5124" max="5124" width="45.5" style="172" bestFit="1" customWidth="1"/>
    <col min="5125" max="5125" width="8.796875" style="172" customWidth="1"/>
    <col min="5126" max="5126" width="47.19921875" style="172" customWidth="1"/>
    <col min="5127" max="5127" width="10.19921875" style="172" customWidth="1"/>
    <col min="5128" max="5128" width="41.796875" style="172" customWidth="1"/>
    <col min="5129" max="5129" width="11.19921875" style="172" customWidth="1"/>
    <col min="5130" max="5130" width="10.5" style="172" customWidth="1"/>
    <col min="5131" max="5131" width="16" style="172" bestFit="1" customWidth="1"/>
    <col min="5132" max="5132" width="13.19921875" style="172" customWidth="1"/>
    <col min="5133" max="5133" width="11.796875" style="172" customWidth="1"/>
    <col min="5134" max="5134" width="9.69921875" style="172" customWidth="1"/>
    <col min="5135" max="5376" width="10.69921875" style="172"/>
    <col min="5377" max="5377" width="9" style="172" customWidth="1"/>
    <col min="5378" max="5378" width="6.296875" style="172" customWidth="1"/>
    <col min="5379" max="5379" width="33.5" style="172" bestFit="1" customWidth="1"/>
    <col min="5380" max="5380" width="45.5" style="172" bestFit="1" customWidth="1"/>
    <col min="5381" max="5381" width="8.796875" style="172" customWidth="1"/>
    <col min="5382" max="5382" width="47.19921875" style="172" customWidth="1"/>
    <col min="5383" max="5383" width="10.19921875" style="172" customWidth="1"/>
    <col min="5384" max="5384" width="41.796875" style="172" customWidth="1"/>
    <col min="5385" max="5385" width="11.19921875" style="172" customWidth="1"/>
    <col min="5386" max="5386" width="10.5" style="172" customWidth="1"/>
    <col min="5387" max="5387" width="16" style="172" bestFit="1" customWidth="1"/>
    <col min="5388" max="5388" width="13.19921875" style="172" customWidth="1"/>
    <col min="5389" max="5389" width="11.796875" style="172" customWidth="1"/>
    <col min="5390" max="5390" width="9.69921875" style="172" customWidth="1"/>
    <col min="5391" max="5632" width="10.69921875" style="172"/>
    <col min="5633" max="5633" width="9" style="172" customWidth="1"/>
    <col min="5634" max="5634" width="6.296875" style="172" customWidth="1"/>
    <col min="5635" max="5635" width="33.5" style="172" bestFit="1" customWidth="1"/>
    <col min="5636" max="5636" width="45.5" style="172" bestFit="1" customWidth="1"/>
    <col min="5637" max="5637" width="8.796875" style="172" customWidth="1"/>
    <col min="5638" max="5638" width="47.19921875" style="172" customWidth="1"/>
    <col min="5639" max="5639" width="10.19921875" style="172" customWidth="1"/>
    <col min="5640" max="5640" width="41.796875" style="172" customWidth="1"/>
    <col min="5641" max="5641" width="11.19921875" style="172" customWidth="1"/>
    <col min="5642" max="5642" width="10.5" style="172" customWidth="1"/>
    <col min="5643" max="5643" width="16" style="172" bestFit="1" customWidth="1"/>
    <col min="5644" max="5644" width="13.19921875" style="172" customWidth="1"/>
    <col min="5645" max="5645" width="11.796875" style="172" customWidth="1"/>
    <col min="5646" max="5646" width="9.69921875" style="172" customWidth="1"/>
    <col min="5647" max="5888" width="10.69921875" style="172"/>
    <col min="5889" max="5889" width="9" style="172" customWidth="1"/>
    <col min="5890" max="5890" width="6.296875" style="172" customWidth="1"/>
    <col min="5891" max="5891" width="33.5" style="172" bestFit="1" customWidth="1"/>
    <col min="5892" max="5892" width="45.5" style="172" bestFit="1" customWidth="1"/>
    <col min="5893" max="5893" width="8.796875" style="172" customWidth="1"/>
    <col min="5894" max="5894" width="47.19921875" style="172" customWidth="1"/>
    <col min="5895" max="5895" width="10.19921875" style="172" customWidth="1"/>
    <col min="5896" max="5896" width="41.796875" style="172" customWidth="1"/>
    <col min="5897" max="5897" width="11.19921875" style="172" customWidth="1"/>
    <col min="5898" max="5898" width="10.5" style="172" customWidth="1"/>
    <col min="5899" max="5899" width="16" style="172" bestFit="1" customWidth="1"/>
    <col min="5900" max="5900" width="13.19921875" style="172" customWidth="1"/>
    <col min="5901" max="5901" width="11.796875" style="172" customWidth="1"/>
    <col min="5902" max="5902" width="9.69921875" style="172" customWidth="1"/>
    <col min="5903" max="6144" width="10.69921875" style="172"/>
    <col min="6145" max="6145" width="9" style="172" customWidth="1"/>
    <col min="6146" max="6146" width="6.296875" style="172" customWidth="1"/>
    <col min="6147" max="6147" width="33.5" style="172" bestFit="1" customWidth="1"/>
    <col min="6148" max="6148" width="45.5" style="172" bestFit="1" customWidth="1"/>
    <col min="6149" max="6149" width="8.796875" style="172" customWidth="1"/>
    <col min="6150" max="6150" width="47.19921875" style="172" customWidth="1"/>
    <col min="6151" max="6151" width="10.19921875" style="172" customWidth="1"/>
    <col min="6152" max="6152" width="41.796875" style="172" customWidth="1"/>
    <col min="6153" max="6153" width="11.19921875" style="172" customWidth="1"/>
    <col min="6154" max="6154" width="10.5" style="172" customWidth="1"/>
    <col min="6155" max="6155" width="16" style="172" bestFit="1" customWidth="1"/>
    <col min="6156" max="6156" width="13.19921875" style="172" customWidth="1"/>
    <col min="6157" max="6157" width="11.796875" style="172" customWidth="1"/>
    <col min="6158" max="6158" width="9.69921875" style="172" customWidth="1"/>
    <col min="6159" max="6400" width="10.69921875" style="172"/>
    <col min="6401" max="6401" width="9" style="172" customWidth="1"/>
    <col min="6402" max="6402" width="6.296875" style="172" customWidth="1"/>
    <col min="6403" max="6403" width="33.5" style="172" bestFit="1" customWidth="1"/>
    <col min="6404" max="6404" width="45.5" style="172" bestFit="1" customWidth="1"/>
    <col min="6405" max="6405" width="8.796875" style="172" customWidth="1"/>
    <col min="6406" max="6406" width="47.19921875" style="172" customWidth="1"/>
    <col min="6407" max="6407" width="10.19921875" style="172" customWidth="1"/>
    <col min="6408" max="6408" width="41.796875" style="172" customWidth="1"/>
    <col min="6409" max="6409" width="11.19921875" style="172" customWidth="1"/>
    <col min="6410" max="6410" width="10.5" style="172" customWidth="1"/>
    <col min="6411" max="6411" width="16" style="172" bestFit="1" customWidth="1"/>
    <col min="6412" max="6412" width="13.19921875" style="172" customWidth="1"/>
    <col min="6413" max="6413" width="11.796875" style="172" customWidth="1"/>
    <col min="6414" max="6414" width="9.69921875" style="172" customWidth="1"/>
    <col min="6415" max="6656" width="10.69921875" style="172"/>
    <col min="6657" max="6657" width="9" style="172" customWidth="1"/>
    <col min="6658" max="6658" width="6.296875" style="172" customWidth="1"/>
    <col min="6659" max="6659" width="33.5" style="172" bestFit="1" customWidth="1"/>
    <col min="6660" max="6660" width="45.5" style="172" bestFit="1" customWidth="1"/>
    <col min="6661" max="6661" width="8.796875" style="172" customWidth="1"/>
    <col min="6662" max="6662" width="47.19921875" style="172" customWidth="1"/>
    <col min="6663" max="6663" width="10.19921875" style="172" customWidth="1"/>
    <col min="6664" max="6664" width="41.796875" style="172" customWidth="1"/>
    <col min="6665" max="6665" width="11.19921875" style="172" customWidth="1"/>
    <col min="6666" max="6666" width="10.5" style="172" customWidth="1"/>
    <col min="6667" max="6667" width="16" style="172" bestFit="1" customWidth="1"/>
    <col min="6668" max="6668" width="13.19921875" style="172" customWidth="1"/>
    <col min="6669" max="6669" width="11.796875" style="172" customWidth="1"/>
    <col min="6670" max="6670" width="9.69921875" style="172" customWidth="1"/>
    <col min="6671" max="6912" width="10.69921875" style="172"/>
    <col min="6913" max="6913" width="9" style="172" customWidth="1"/>
    <col min="6914" max="6914" width="6.296875" style="172" customWidth="1"/>
    <col min="6915" max="6915" width="33.5" style="172" bestFit="1" customWidth="1"/>
    <col min="6916" max="6916" width="45.5" style="172" bestFit="1" customWidth="1"/>
    <col min="6917" max="6917" width="8.796875" style="172" customWidth="1"/>
    <col min="6918" max="6918" width="47.19921875" style="172" customWidth="1"/>
    <col min="6919" max="6919" width="10.19921875" style="172" customWidth="1"/>
    <col min="6920" max="6920" width="41.796875" style="172" customWidth="1"/>
    <col min="6921" max="6921" width="11.19921875" style="172" customWidth="1"/>
    <col min="6922" max="6922" width="10.5" style="172" customWidth="1"/>
    <col min="6923" max="6923" width="16" style="172" bestFit="1" customWidth="1"/>
    <col min="6924" max="6924" width="13.19921875" style="172" customWidth="1"/>
    <col min="6925" max="6925" width="11.796875" style="172" customWidth="1"/>
    <col min="6926" max="6926" width="9.69921875" style="172" customWidth="1"/>
    <col min="6927" max="7168" width="10.69921875" style="172"/>
    <col min="7169" max="7169" width="9" style="172" customWidth="1"/>
    <col min="7170" max="7170" width="6.296875" style="172" customWidth="1"/>
    <col min="7171" max="7171" width="33.5" style="172" bestFit="1" customWidth="1"/>
    <col min="7172" max="7172" width="45.5" style="172" bestFit="1" customWidth="1"/>
    <col min="7173" max="7173" width="8.796875" style="172" customWidth="1"/>
    <col min="7174" max="7174" width="47.19921875" style="172" customWidth="1"/>
    <col min="7175" max="7175" width="10.19921875" style="172" customWidth="1"/>
    <col min="7176" max="7176" width="41.796875" style="172" customWidth="1"/>
    <col min="7177" max="7177" width="11.19921875" style="172" customWidth="1"/>
    <col min="7178" max="7178" width="10.5" style="172" customWidth="1"/>
    <col min="7179" max="7179" width="16" style="172" bestFit="1" customWidth="1"/>
    <col min="7180" max="7180" width="13.19921875" style="172" customWidth="1"/>
    <col min="7181" max="7181" width="11.796875" style="172" customWidth="1"/>
    <col min="7182" max="7182" width="9.69921875" style="172" customWidth="1"/>
    <col min="7183" max="7424" width="10.69921875" style="172"/>
    <col min="7425" max="7425" width="9" style="172" customWidth="1"/>
    <col min="7426" max="7426" width="6.296875" style="172" customWidth="1"/>
    <col min="7427" max="7427" width="33.5" style="172" bestFit="1" customWidth="1"/>
    <col min="7428" max="7428" width="45.5" style="172" bestFit="1" customWidth="1"/>
    <col min="7429" max="7429" width="8.796875" style="172" customWidth="1"/>
    <col min="7430" max="7430" width="47.19921875" style="172" customWidth="1"/>
    <col min="7431" max="7431" width="10.19921875" style="172" customWidth="1"/>
    <col min="7432" max="7432" width="41.796875" style="172" customWidth="1"/>
    <col min="7433" max="7433" width="11.19921875" style="172" customWidth="1"/>
    <col min="7434" max="7434" width="10.5" style="172" customWidth="1"/>
    <col min="7435" max="7435" width="16" style="172" bestFit="1" customWidth="1"/>
    <col min="7436" max="7436" width="13.19921875" style="172" customWidth="1"/>
    <col min="7437" max="7437" width="11.796875" style="172" customWidth="1"/>
    <col min="7438" max="7438" width="9.69921875" style="172" customWidth="1"/>
    <col min="7439" max="7680" width="10.69921875" style="172"/>
    <col min="7681" max="7681" width="9" style="172" customWidth="1"/>
    <col min="7682" max="7682" width="6.296875" style="172" customWidth="1"/>
    <col min="7683" max="7683" width="33.5" style="172" bestFit="1" customWidth="1"/>
    <col min="7684" max="7684" width="45.5" style="172" bestFit="1" customWidth="1"/>
    <col min="7685" max="7685" width="8.796875" style="172" customWidth="1"/>
    <col min="7686" max="7686" width="47.19921875" style="172" customWidth="1"/>
    <col min="7687" max="7687" width="10.19921875" style="172" customWidth="1"/>
    <col min="7688" max="7688" width="41.796875" style="172" customWidth="1"/>
    <col min="7689" max="7689" width="11.19921875" style="172" customWidth="1"/>
    <col min="7690" max="7690" width="10.5" style="172" customWidth="1"/>
    <col min="7691" max="7691" width="16" style="172" bestFit="1" customWidth="1"/>
    <col min="7692" max="7692" width="13.19921875" style="172" customWidth="1"/>
    <col min="7693" max="7693" width="11.796875" style="172" customWidth="1"/>
    <col min="7694" max="7694" width="9.69921875" style="172" customWidth="1"/>
    <col min="7695" max="7936" width="10.69921875" style="172"/>
    <col min="7937" max="7937" width="9" style="172" customWidth="1"/>
    <col min="7938" max="7938" width="6.296875" style="172" customWidth="1"/>
    <col min="7939" max="7939" width="33.5" style="172" bestFit="1" customWidth="1"/>
    <col min="7940" max="7940" width="45.5" style="172" bestFit="1" customWidth="1"/>
    <col min="7941" max="7941" width="8.796875" style="172" customWidth="1"/>
    <col min="7942" max="7942" width="47.19921875" style="172" customWidth="1"/>
    <col min="7943" max="7943" width="10.19921875" style="172" customWidth="1"/>
    <col min="7944" max="7944" width="41.796875" style="172" customWidth="1"/>
    <col min="7945" max="7945" width="11.19921875" style="172" customWidth="1"/>
    <col min="7946" max="7946" width="10.5" style="172" customWidth="1"/>
    <col min="7947" max="7947" width="16" style="172" bestFit="1" customWidth="1"/>
    <col min="7948" max="7948" width="13.19921875" style="172" customWidth="1"/>
    <col min="7949" max="7949" width="11.796875" style="172" customWidth="1"/>
    <col min="7950" max="7950" width="9.69921875" style="172" customWidth="1"/>
    <col min="7951" max="8192" width="10.69921875" style="172"/>
    <col min="8193" max="8193" width="9" style="172" customWidth="1"/>
    <col min="8194" max="8194" width="6.296875" style="172" customWidth="1"/>
    <col min="8195" max="8195" width="33.5" style="172" bestFit="1" customWidth="1"/>
    <col min="8196" max="8196" width="45.5" style="172" bestFit="1" customWidth="1"/>
    <col min="8197" max="8197" width="8.796875" style="172" customWidth="1"/>
    <col min="8198" max="8198" width="47.19921875" style="172" customWidth="1"/>
    <col min="8199" max="8199" width="10.19921875" style="172" customWidth="1"/>
    <col min="8200" max="8200" width="41.796875" style="172" customWidth="1"/>
    <col min="8201" max="8201" width="11.19921875" style="172" customWidth="1"/>
    <col min="8202" max="8202" width="10.5" style="172" customWidth="1"/>
    <col min="8203" max="8203" width="16" style="172" bestFit="1" customWidth="1"/>
    <col min="8204" max="8204" width="13.19921875" style="172" customWidth="1"/>
    <col min="8205" max="8205" width="11.796875" style="172" customWidth="1"/>
    <col min="8206" max="8206" width="9.69921875" style="172" customWidth="1"/>
    <col min="8207" max="8448" width="10.69921875" style="172"/>
    <col min="8449" max="8449" width="9" style="172" customWidth="1"/>
    <col min="8450" max="8450" width="6.296875" style="172" customWidth="1"/>
    <col min="8451" max="8451" width="33.5" style="172" bestFit="1" customWidth="1"/>
    <col min="8452" max="8452" width="45.5" style="172" bestFit="1" customWidth="1"/>
    <col min="8453" max="8453" width="8.796875" style="172" customWidth="1"/>
    <col min="8454" max="8454" width="47.19921875" style="172" customWidth="1"/>
    <col min="8455" max="8455" width="10.19921875" style="172" customWidth="1"/>
    <col min="8456" max="8456" width="41.796875" style="172" customWidth="1"/>
    <col min="8457" max="8457" width="11.19921875" style="172" customWidth="1"/>
    <col min="8458" max="8458" width="10.5" style="172" customWidth="1"/>
    <col min="8459" max="8459" width="16" style="172" bestFit="1" customWidth="1"/>
    <col min="8460" max="8460" width="13.19921875" style="172" customWidth="1"/>
    <col min="8461" max="8461" width="11.796875" style="172" customWidth="1"/>
    <col min="8462" max="8462" width="9.69921875" style="172" customWidth="1"/>
    <col min="8463" max="8704" width="10.69921875" style="172"/>
    <col min="8705" max="8705" width="9" style="172" customWidth="1"/>
    <col min="8706" max="8706" width="6.296875" style="172" customWidth="1"/>
    <col min="8707" max="8707" width="33.5" style="172" bestFit="1" customWidth="1"/>
    <col min="8708" max="8708" width="45.5" style="172" bestFit="1" customWidth="1"/>
    <col min="8709" max="8709" width="8.796875" style="172" customWidth="1"/>
    <col min="8710" max="8710" width="47.19921875" style="172" customWidth="1"/>
    <col min="8711" max="8711" width="10.19921875" style="172" customWidth="1"/>
    <col min="8712" max="8712" width="41.796875" style="172" customWidth="1"/>
    <col min="8713" max="8713" width="11.19921875" style="172" customWidth="1"/>
    <col min="8714" max="8714" width="10.5" style="172" customWidth="1"/>
    <col min="8715" max="8715" width="16" style="172" bestFit="1" customWidth="1"/>
    <col min="8716" max="8716" width="13.19921875" style="172" customWidth="1"/>
    <col min="8717" max="8717" width="11.796875" style="172" customWidth="1"/>
    <col min="8718" max="8718" width="9.69921875" style="172" customWidth="1"/>
    <col min="8719" max="8960" width="10.69921875" style="172"/>
    <col min="8961" max="8961" width="9" style="172" customWidth="1"/>
    <col min="8962" max="8962" width="6.296875" style="172" customWidth="1"/>
    <col min="8963" max="8963" width="33.5" style="172" bestFit="1" customWidth="1"/>
    <col min="8964" max="8964" width="45.5" style="172" bestFit="1" customWidth="1"/>
    <col min="8965" max="8965" width="8.796875" style="172" customWidth="1"/>
    <col min="8966" max="8966" width="47.19921875" style="172" customWidth="1"/>
    <col min="8967" max="8967" width="10.19921875" style="172" customWidth="1"/>
    <col min="8968" max="8968" width="41.796875" style="172" customWidth="1"/>
    <col min="8969" max="8969" width="11.19921875" style="172" customWidth="1"/>
    <col min="8970" max="8970" width="10.5" style="172" customWidth="1"/>
    <col min="8971" max="8971" width="16" style="172" bestFit="1" customWidth="1"/>
    <col min="8972" max="8972" width="13.19921875" style="172" customWidth="1"/>
    <col min="8973" max="8973" width="11.796875" style="172" customWidth="1"/>
    <col min="8974" max="8974" width="9.69921875" style="172" customWidth="1"/>
    <col min="8975" max="9216" width="10.69921875" style="172"/>
    <col min="9217" max="9217" width="9" style="172" customWidth="1"/>
    <col min="9218" max="9218" width="6.296875" style="172" customWidth="1"/>
    <col min="9219" max="9219" width="33.5" style="172" bestFit="1" customWidth="1"/>
    <col min="9220" max="9220" width="45.5" style="172" bestFit="1" customWidth="1"/>
    <col min="9221" max="9221" width="8.796875" style="172" customWidth="1"/>
    <col min="9222" max="9222" width="47.19921875" style="172" customWidth="1"/>
    <col min="9223" max="9223" width="10.19921875" style="172" customWidth="1"/>
    <col min="9224" max="9224" width="41.796875" style="172" customWidth="1"/>
    <col min="9225" max="9225" width="11.19921875" style="172" customWidth="1"/>
    <col min="9226" max="9226" width="10.5" style="172" customWidth="1"/>
    <col min="9227" max="9227" width="16" style="172" bestFit="1" customWidth="1"/>
    <col min="9228" max="9228" width="13.19921875" style="172" customWidth="1"/>
    <col min="9229" max="9229" width="11.796875" style="172" customWidth="1"/>
    <col min="9230" max="9230" width="9.69921875" style="172" customWidth="1"/>
    <col min="9231" max="9472" width="10.69921875" style="172"/>
    <col min="9473" max="9473" width="9" style="172" customWidth="1"/>
    <col min="9474" max="9474" width="6.296875" style="172" customWidth="1"/>
    <col min="9475" max="9475" width="33.5" style="172" bestFit="1" customWidth="1"/>
    <col min="9476" max="9476" width="45.5" style="172" bestFit="1" customWidth="1"/>
    <col min="9477" max="9477" width="8.796875" style="172" customWidth="1"/>
    <col min="9478" max="9478" width="47.19921875" style="172" customWidth="1"/>
    <col min="9479" max="9479" width="10.19921875" style="172" customWidth="1"/>
    <col min="9480" max="9480" width="41.796875" style="172" customWidth="1"/>
    <col min="9481" max="9481" width="11.19921875" style="172" customWidth="1"/>
    <col min="9482" max="9482" width="10.5" style="172" customWidth="1"/>
    <col min="9483" max="9483" width="16" style="172" bestFit="1" customWidth="1"/>
    <col min="9484" max="9484" width="13.19921875" style="172" customWidth="1"/>
    <col min="9485" max="9485" width="11.796875" style="172" customWidth="1"/>
    <col min="9486" max="9486" width="9.69921875" style="172" customWidth="1"/>
    <col min="9487" max="9728" width="10.69921875" style="172"/>
    <col min="9729" max="9729" width="9" style="172" customWidth="1"/>
    <col min="9730" max="9730" width="6.296875" style="172" customWidth="1"/>
    <col min="9731" max="9731" width="33.5" style="172" bestFit="1" customWidth="1"/>
    <col min="9732" max="9732" width="45.5" style="172" bestFit="1" customWidth="1"/>
    <col min="9733" max="9733" width="8.796875" style="172" customWidth="1"/>
    <col min="9734" max="9734" width="47.19921875" style="172" customWidth="1"/>
    <col min="9735" max="9735" width="10.19921875" style="172" customWidth="1"/>
    <col min="9736" max="9736" width="41.796875" style="172" customWidth="1"/>
    <col min="9737" max="9737" width="11.19921875" style="172" customWidth="1"/>
    <col min="9738" max="9738" width="10.5" style="172" customWidth="1"/>
    <col min="9739" max="9739" width="16" style="172" bestFit="1" customWidth="1"/>
    <col min="9740" max="9740" width="13.19921875" style="172" customWidth="1"/>
    <col min="9741" max="9741" width="11.796875" style="172" customWidth="1"/>
    <col min="9742" max="9742" width="9.69921875" style="172" customWidth="1"/>
    <col min="9743" max="9984" width="10.69921875" style="172"/>
    <col min="9985" max="9985" width="9" style="172" customWidth="1"/>
    <col min="9986" max="9986" width="6.296875" style="172" customWidth="1"/>
    <col min="9987" max="9987" width="33.5" style="172" bestFit="1" customWidth="1"/>
    <col min="9988" max="9988" width="45.5" style="172" bestFit="1" customWidth="1"/>
    <col min="9989" max="9989" width="8.796875" style="172" customWidth="1"/>
    <col min="9990" max="9990" width="47.19921875" style="172" customWidth="1"/>
    <col min="9991" max="9991" width="10.19921875" style="172" customWidth="1"/>
    <col min="9992" max="9992" width="41.796875" style="172" customWidth="1"/>
    <col min="9993" max="9993" width="11.19921875" style="172" customWidth="1"/>
    <col min="9994" max="9994" width="10.5" style="172" customWidth="1"/>
    <col min="9995" max="9995" width="16" style="172" bestFit="1" customWidth="1"/>
    <col min="9996" max="9996" width="13.19921875" style="172" customWidth="1"/>
    <col min="9997" max="9997" width="11.796875" style="172" customWidth="1"/>
    <col min="9998" max="9998" width="9.69921875" style="172" customWidth="1"/>
    <col min="9999" max="10240" width="10.69921875" style="172"/>
    <col min="10241" max="10241" width="9" style="172" customWidth="1"/>
    <col min="10242" max="10242" width="6.296875" style="172" customWidth="1"/>
    <col min="10243" max="10243" width="33.5" style="172" bestFit="1" customWidth="1"/>
    <col min="10244" max="10244" width="45.5" style="172" bestFit="1" customWidth="1"/>
    <col min="10245" max="10245" width="8.796875" style="172" customWidth="1"/>
    <col min="10246" max="10246" width="47.19921875" style="172" customWidth="1"/>
    <col min="10247" max="10247" width="10.19921875" style="172" customWidth="1"/>
    <col min="10248" max="10248" width="41.796875" style="172" customWidth="1"/>
    <col min="10249" max="10249" width="11.19921875" style="172" customWidth="1"/>
    <col min="10250" max="10250" width="10.5" style="172" customWidth="1"/>
    <col min="10251" max="10251" width="16" style="172" bestFit="1" customWidth="1"/>
    <col min="10252" max="10252" width="13.19921875" style="172" customWidth="1"/>
    <col min="10253" max="10253" width="11.796875" style="172" customWidth="1"/>
    <col min="10254" max="10254" width="9.69921875" style="172" customWidth="1"/>
    <col min="10255" max="10496" width="10.69921875" style="172"/>
    <col min="10497" max="10497" width="9" style="172" customWidth="1"/>
    <col min="10498" max="10498" width="6.296875" style="172" customWidth="1"/>
    <col min="10499" max="10499" width="33.5" style="172" bestFit="1" customWidth="1"/>
    <col min="10500" max="10500" width="45.5" style="172" bestFit="1" customWidth="1"/>
    <col min="10501" max="10501" width="8.796875" style="172" customWidth="1"/>
    <col min="10502" max="10502" width="47.19921875" style="172" customWidth="1"/>
    <col min="10503" max="10503" width="10.19921875" style="172" customWidth="1"/>
    <col min="10504" max="10504" width="41.796875" style="172" customWidth="1"/>
    <col min="10505" max="10505" width="11.19921875" style="172" customWidth="1"/>
    <col min="10506" max="10506" width="10.5" style="172" customWidth="1"/>
    <col min="10507" max="10507" width="16" style="172" bestFit="1" customWidth="1"/>
    <col min="10508" max="10508" width="13.19921875" style="172" customWidth="1"/>
    <col min="10509" max="10509" width="11.796875" style="172" customWidth="1"/>
    <col min="10510" max="10510" width="9.69921875" style="172" customWidth="1"/>
    <col min="10511" max="10752" width="10.69921875" style="172"/>
    <col min="10753" max="10753" width="9" style="172" customWidth="1"/>
    <col min="10754" max="10754" width="6.296875" style="172" customWidth="1"/>
    <col min="10755" max="10755" width="33.5" style="172" bestFit="1" customWidth="1"/>
    <col min="10756" max="10756" width="45.5" style="172" bestFit="1" customWidth="1"/>
    <col min="10757" max="10757" width="8.796875" style="172" customWidth="1"/>
    <col min="10758" max="10758" width="47.19921875" style="172" customWidth="1"/>
    <col min="10759" max="10759" width="10.19921875" style="172" customWidth="1"/>
    <col min="10760" max="10760" width="41.796875" style="172" customWidth="1"/>
    <col min="10761" max="10761" width="11.19921875" style="172" customWidth="1"/>
    <col min="10762" max="10762" width="10.5" style="172" customWidth="1"/>
    <col min="10763" max="10763" width="16" style="172" bestFit="1" customWidth="1"/>
    <col min="10764" max="10764" width="13.19921875" style="172" customWidth="1"/>
    <col min="10765" max="10765" width="11.796875" style="172" customWidth="1"/>
    <col min="10766" max="10766" width="9.69921875" style="172" customWidth="1"/>
    <col min="10767" max="11008" width="10.69921875" style="172"/>
    <col min="11009" max="11009" width="9" style="172" customWidth="1"/>
    <col min="11010" max="11010" width="6.296875" style="172" customWidth="1"/>
    <col min="11011" max="11011" width="33.5" style="172" bestFit="1" customWidth="1"/>
    <col min="11012" max="11012" width="45.5" style="172" bestFit="1" customWidth="1"/>
    <col min="11013" max="11013" width="8.796875" style="172" customWidth="1"/>
    <col min="11014" max="11014" width="47.19921875" style="172" customWidth="1"/>
    <col min="11015" max="11015" width="10.19921875" style="172" customWidth="1"/>
    <col min="11016" max="11016" width="41.796875" style="172" customWidth="1"/>
    <col min="11017" max="11017" width="11.19921875" style="172" customWidth="1"/>
    <col min="11018" max="11018" width="10.5" style="172" customWidth="1"/>
    <col min="11019" max="11019" width="16" style="172" bestFit="1" customWidth="1"/>
    <col min="11020" max="11020" width="13.19921875" style="172" customWidth="1"/>
    <col min="11021" max="11021" width="11.796875" style="172" customWidth="1"/>
    <col min="11022" max="11022" width="9.69921875" style="172" customWidth="1"/>
    <col min="11023" max="11264" width="10.69921875" style="172"/>
    <col min="11265" max="11265" width="9" style="172" customWidth="1"/>
    <col min="11266" max="11266" width="6.296875" style="172" customWidth="1"/>
    <col min="11267" max="11267" width="33.5" style="172" bestFit="1" customWidth="1"/>
    <col min="11268" max="11268" width="45.5" style="172" bestFit="1" customWidth="1"/>
    <col min="11269" max="11269" width="8.796875" style="172" customWidth="1"/>
    <col min="11270" max="11270" width="47.19921875" style="172" customWidth="1"/>
    <col min="11271" max="11271" width="10.19921875" style="172" customWidth="1"/>
    <col min="11272" max="11272" width="41.796875" style="172" customWidth="1"/>
    <col min="11273" max="11273" width="11.19921875" style="172" customWidth="1"/>
    <col min="11274" max="11274" width="10.5" style="172" customWidth="1"/>
    <col min="11275" max="11275" width="16" style="172" bestFit="1" customWidth="1"/>
    <col min="11276" max="11276" width="13.19921875" style="172" customWidth="1"/>
    <col min="11277" max="11277" width="11.796875" style="172" customWidth="1"/>
    <col min="11278" max="11278" width="9.69921875" style="172" customWidth="1"/>
    <col min="11279" max="11520" width="10.69921875" style="172"/>
    <col min="11521" max="11521" width="9" style="172" customWidth="1"/>
    <col min="11522" max="11522" width="6.296875" style="172" customWidth="1"/>
    <col min="11523" max="11523" width="33.5" style="172" bestFit="1" customWidth="1"/>
    <col min="11524" max="11524" width="45.5" style="172" bestFit="1" customWidth="1"/>
    <col min="11525" max="11525" width="8.796875" style="172" customWidth="1"/>
    <col min="11526" max="11526" width="47.19921875" style="172" customWidth="1"/>
    <col min="11527" max="11527" width="10.19921875" style="172" customWidth="1"/>
    <col min="11528" max="11528" width="41.796875" style="172" customWidth="1"/>
    <col min="11529" max="11529" width="11.19921875" style="172" customWidth="1"/>
    <col min="11530" max="11530" width="10.5" style="172" customWidth="1"/>
    <col min="11531" max="11531" width="16" style="172" bestFit="1" customWidth="1"/>
    <col min="11532" max="11532" width="13.19921875" style="172" customWidth="1"/>
    <col min="11533" max="11533" width="11.796875" style="172" customWidth="1"/>
    <col min="11534" max="11534" width="9.69921875" style="172" customWidth="1"/>
    <col min="11535" max="11776" width="10.69921875" style="172"/>
    <col min="11777" max="11777" width="9" style="172" customWidth="1"/>
    <col min="11778" max="11778" width="6.296875" style="172" customWidth="1"/>
    <col min="11779" max="11779" width="33.5" style="172" bestFit="1" customWidth="1"/>
    <col min="11780" max="11780" width="45.5" style="172" bestFit="1" customWidth="1"/>
    <col min="11781" max="11781" width="8.796875" style="172" customWidth="1"/>
    <col min="11782" max="11782" width="47.19921875" style="172" customWidth="1"/>
    <col min="11783" max="11783" width="10.19921875" style="172" customWidth="1"/>
    <col min="11784" max="11784" width="41.796875" style="172" customWidth="1"/>
    <col min="11785" max="11785" width="11.19921875" style="172" customWidth="1"/>
    <col min="11786" max="11786" width="10.5" style="172" customWidth="1"/>
    <col min="11787" max="11787" width="16" style="172" bestFit="1" customWidth="1"/>
    <col min="11788" max="11788" width="13.19921875" style="172" customWidth="1"/>
    <col min="11789" max="11789" width="11.796875" style="172" customWidth="1"/>
    <col min="11790" max="11790" width="9.69921875" style="172" customWidth="1"/>
    <col min="11791" max="12032" width="10.69921875" style="172"/>
    <col min="12033" max="12033" width="9" style="172" customWidth="1"/>
    <col min="12034" max="12034" width="6.296875" style="172" customWidth="1"/>
    <col min="12035" max="12035" width="33.5" style="172" bestFit="1" customWidth="1"/>
    <col min="12036" max="12036" width="45.5" style="172" bestFit="1" customWidth="1"/>
    <col min="12037" max="12037" width="8.796875" style="172" customWidth="1"/>
    <col min="12038" max="12038" width="47.19921875" style="172" customWidth="1"/>
    <col min="12039" max="12039" width="10.19921875" style="172" customWidth="1"/>
    <col min="12040" max="12040" width="41.796875" style="172" customWidth="1"/>
    <col min="12041" max="12041" width="11.19921875" style="172" customWidth="1"/>
    <col min="12042" max="12042" width="10.5" style="172" customWidth="1"/>
    <col min="12043" max="12043" width="16" style="172" bestFit="1" customWidth="1"/>
    <col min="12044" max="12044" width="13.19921875" style="172" customWidth="1"/>
    <col min="12045" max="12045" width="11.796875" style="172" customWidth="1"/>
    <col min="12046" max="12046" width="9.69921875" style="172" customWidth="1"/>
    <col min="12047" max="12288" width="10.69921875" style="172"/>
    <col min="12289" max="12289" width="9" style="172" customWidth="1"/>
    <col min="12290" max="12290" width="6.296875" style="172" customWidth="1"/>
    <col min="12291" max="12291" width="33.5" style="172" bestFit="1" customWidth="1"/>
    <col min="12292" max="12292" width="45.5" style="172" bestFit="1" customWidth="1"/>
    <col min="12293" max="12293" width="8.796875" style="172" customWidth="1"/>
    <col min="12294" max="12294" width="47.19921875" style="172" customWidth="1"/>
    <col min="12295" max="12295" width="10.19921875" style="172" customWidth="1"/>
    <col min="12296" max="12296" width="41.796875" style="172" customWidth="1"/>
    <col min="12297" max="12297" width="11.19921875" style="172" customWidth="1"/>
    <col min="12298" max="12298" width="10.5" style="172" customWidth="1"/>
    <col min="12299" max="12299" width="16" style="172" bestFit="1" customWidth="1"/>
    <col min="12300" max="12300" width="13.19921875" style="172" customWidth="1"/>
    <col min="12301" max="12301" width="11.796875" style="172" customWidth="1"/>
    <col min="12302" max="12302" width="9.69921875" style="172" customWidth="1"/>
    <col min="12303" max="12544" width="10.69921875" style="172"/>
    <col min="12545" max="12545" width="9" style="172" customWidth="1"/>
    <col min="12546" max="12546" width="6.296875" style="172" customWidth="1"/>
    <col min="12547" max="12547" width="33.5" style="172" bestFit="1" customWidth="1"/>
    <col min="12548" max="12548" width="45.5" style="172" bestFit="1" customWidth="1"/>
    <col min="12549" max="12549" width="8.796875" style="172" customWidth="1"/>
    <col min="12550" max="12550" width="47.19921875" style="172" customWidth="1"/>
    <col min="12551" max="12551" width="10.19921875" style="172" customWidth="1"/>
    <col min="12552" max="12552" width="41.796875" style="172" customWidth="1"/>
    <col min="12553" max="12553" width="11.19921875" style="172" customWidth="1"/>
    <col min="12554" max="12554" width="10.5" style="172" customWidth="1"/>
    <col min="12555" max="12555" width="16" style="172" bestFit="1" customWidth="1"/>
    <col min="12556" max="12556" width="13.19921875" style="172" customWidth="1"/>
    <col min="12557" max="12557" width="11.796875" style="172" customWidth="1"/>
    <col min="12558" max="12558" width="9.69921875" style="172" customWidth="1"/>
    <col min="12559" max="12800" width="10.69921875" style="172"/>
    <col min="12801" max="12801" width="9" style="172" customWidth="1"/>
    <col min="12802" max="12802" width="6.296875" style="172" customWidth="1"/>
    <col min="12803" max="12803" width="33.5" style="172" bestFit="1" customWidth="1"/>
    <col min="12804" max="12804" width="45.5" style="172" bestFit="1" customWidth="1"/>
    <col min="12805" max="12805" width="8.796875" style="172" customWidth="1"/>
    <col min="12806" max="12806" width="47.19921875" style="172" customWidth="1"/>
    <col min="12807" max="12807" width="10.19921875" style="172" customWidth="1"/>
    <col min="12808" max="12808" width="41.796875" style="172" customWidth="1"/>
    <col min="12809" max="12809" width="11.19921875" style="172" customWidth="1"/>
    <col min="12810" max="12810" width="10.5" style="172" customWidth="1"/>
    <col min="12811" max="12811" width="16" style="172" bestFit="1" customWidth="1"/>
    <col min="12812" max="12812" width="13.19921875" style="172" customWidth="1"/>
    <col min="12813" max="12813" width="11.796875" style="172" customWidth="1"/>
    <col min="12814" max="12814" width="9.69921875" style="172" customWidth="1"/>
    <col min="12815" max="13056" width="10.69921875" style="172"/>
    <col min="13057" max="13057" width="9" style="172" customWidth="1"/>
    <col min="13058" max="13058" width="6.296875" style="172" customWidth="1"/>
    <col min="13059" max="13059" width="33.5" style="172" bestFit="1" customWidth="1"/>
    <col min="13060" max="13060" width="45.5" style="172" bestFit="1" customWidth="1"/>
    <col min="13061" max="13061" width="8.796875" style="172" customWidth="1"/>
    <col min="13062" max="13062" width="47.19921875" style="172" customWidth="1"/>
    <col min="13063" max="13063" width="10.19921875" style="172" customWidth="1"/>
    <col min="13064" max="13064" width="41.796875" style="172" customWidth="1"/>
    <col min="13065" max="13065" width="11.19921875" style="172" customWidth="1"/>
    <col min="13066" max="13066" width="10.5" style="172" customWidth="1"/>
    <col min="13067" max="13067" width="16" style="172" bestFit="1" customWidth="1"/>
    <col min="13068" max="13068" width="13.19921875" style="172" customWidth="1"/>
    <col min="13069" max="13069" width="11.796875" style="172" customWidth="1"/>
    <col min="13070" max="13070" width="9.69921875" style="172" customWidth="1"/>
    <col min="13071" max="13312" width="10.69921875" style="172"/>
    <col min="13313" max="13313" width="9" style="172" customWidth="1"/>
    <col min="13314" max="13314" width="6.296875" style="172" customWidth="1"/>
    <col min="13315" max="13315" width="33.5" style="172" bestFit="1" customWidth="1"/>
    <col min="13316" max="13316" width="45.5" style="172" bestFit="1" customWidth="1"/>
    <col min="13317" max="13317" width="8.796875" style="172" customWidth="1"/>
    <col min="13318" max="13318" width="47.19921875" style="172" customWidth="1"/>
    <col min="13319" max="13319" width="10.19921875" style="172" customWidth="1"/>
    <col min="13320" max="13320" width="41.796875" style="172" customWidth="1"/>
    <col min="13321" max="13321" width="11.19921875" style="172" customWidth="1"/>
    <col min="13322" max="13322" width="10.5" style="172" customWidth="1"/>
    <col min="13323" max="13323" width="16" style="172" bestFit="1" customWidth="1"/>
    <col min="13324" max="13324" width="13.19921875" style="172" customWidth="1"/>
    <col min="13325" max="13325" width="11.796875" style="172" customWidth="1"/>
    <col min="13326" max="13326" width="9.69921875" style="172" customWidth="1"/>
    <col min="13327" max="13568" width="10.69921875" style="172"/>
    <col min="13569" max="13569" width="9" style="172" customWidth="1"/>
    <col min="13570" max="13570" width="6.296875" style="172" customWidth="1"/>
    <col min="13571" max="13571" width="33.5" style="172" bestFit="1" customWidth="1"/>
    <col min="13572" max="13572" width="45.5" style="172" bestFit="1" customWidth="1"/>
    <col min="13573" max="13573" width="8.796875" style="172" customWidth="1"/>
    <col min="13574" max="13574" width="47.19921875" style="172" customWidth="1"/>
    <col min="13575" max="13575" width="10.19921875" style="172" customWidth="1"/>
    <col min="13576" max="13576" width="41.796875" style="172" customWidth="1"/>
    <col min="13577" max="13577" width="11.19921875" style="172" customWidth="1"/>
    <col min="13578" max="13578" width="10.5" style="172" customWidth="1"/>
    <col min="13579" max="13579" width="16" style="172" bestFit="1" customWidth="1"/>
    <col min="13580" max="13580" width="13.19921875" style="172" customWidth="1"/>
    <col min="13581" max="13581" width="11.796875" style="172" customWidth="1"/>
    <col min="13582" max="13582" width="9.69921875" style="172" customWidth="1"/>
    <col min="13583" max="13824" width="10.69921875" style="172"/>
    <col min="13825" max="13825" width="9" style="172" customWidth="1"/>
    <col min="13826" max="13826" width="6.296875" style="172" customWidth="1"/>
    <col min="13827" max="13827" width="33.5" style="172" bestFit="1" customWidth="1"/>
    <col min="13828" max="13828" width="45.5" style="172" bestFit="1" customWidth="1"/>
    <col min="13829" max="13829" width="8.796875" style="172" customWidth="1"/>
    <col min="13830" max="13830" width="47.19921875" style="172" customWidth="1"/>
    <col min="13831" max="13831" width="10.19921875" style="172" customWidth="1"/>
    <col min="13832" max="13832" width="41.796875" style="172" customWidth="1"/>
    <col min="13833" max="13833" width="11.19921875" style="172" customWidth="1"/>
    <col min="13834" max="13834" width="10.5" style="172" customWidth="1"/>
    <col min="13835" max="13835" width="16" style="172" bestFit="1" customWidth="1"/>
    <col min="13836" max="13836" width="13.19921875" style="172" customWidth="1"/>
    <col min="13837" max="13837" width="11.796875" style="172" customWidth="1"/>
    <col min="13838" max="13838" width="9.69921875" style="172" customWidth="1"/>
    <col min="13839" max="14080" width="10.69921875" style="172"/>
    <col min="14081" max="14081" width="9" style="172" customWidth="1"/>
    <col min="14082" max="14082" width="6.296875" style="172" customWidth="1"/>
    <col min="14083" max="14083" width="33.5" style="172" bestFit="1" customWidth="1"/>
    <col min="14084" max="14084" width="45.5" style="172" bestFit="1" customWidth="1"/>
    <col min="14085" max="14085" width="8.796875" style="172" customWidth="1"/>
    <col min="14086" max="14086" width="47.19921875" style="172" customWidth="1"/>
    <col min="14087" max="14087" width="10.19921875" style="172" customWidth="1"/>
    <col min="14088" max="14088" width="41.796875" style="172" customWidth="1"/>
    <col min="14089" max="14089" width="11.19921875" style="172" customWidth="1"/>
    <col min="14090" max="14090" width="10.5" style="172" customWidth="1"/>
    <col min="14091" max="14091" width="16" style="172" bestFit="1" customWidth="1"/>
    <col min="14092" max="14092" width="13.19921875" style="172" customWidth="1"/>
    <col min="14093" max="14093" width="11.796875" style="172" customWidth="1"/>
    <col min="14094" max="14094" width="9.69921875" style="172" customWidth="1"/>
    <col min="14095" max="14336" width="10.69921875" style="172"/>
    <col min="14337" max="14337" width="9" style="172" customWidth="1"/>
    <col min="14338" max="14338" width="6.296875" style="172" customWidth="1"/>
    <col min="14339" max="14339" width="33.5" style="172" bestFit="1" customWidth="1"/>
    <col min="14340" max="14340" width="45.5" style="172" bestFit="1" customWidth="1"/>
    <col min="14341" max="14341" width="8.796875" style="172" customWidth="1"/>
    <col min="14342" max="14342" width="47.19921875" style="172" customWidth="1"/>
    <col min="14343" max="14343" width="10.19921875" style="172" customWidth="1"/>
    <col min="14344" max="14344" width="41.796875" style="172" customWidth="1"/>
    <col min="14345" max="14345" width="11.19921875" style="172" customWidth="1"/>
    <col min="14346" max="14346" width="10.5" style="172" customWidth="1"/>
    <col min="14347" max="14347" width="16" style="172" bestFit="1" customWidth="1"/>
    <col min="14348" max="14348" width="13.19921875" style="172" customWidth="1"/>
    <col min="14349" max="14349" width="11.796875" style="172" customWidth="1"/>
    <col min="14350" max="14350" width="9.69921875" style="172" customWidth="1"/>
    <col min="14351" max="14592" width="10.69921875" style="172"/>
    <col min="14593" max="14593" width="9" style="172" customWidth="1"/>
    <col min="14594" max="14594" width="6.296875" style="172" customWidth="1"/>
    <col min="14595" max="14595" width="33.5" style="172" bestFit="1" customWidth="1"/>
    <col min="14596" max="14596" width="45.5" style="172" bestFit="1" customWidth="1"/>
    <col min="14597" max="14597" width="8.796875" style="172" customWidth="1"/>
    <col min="14598" max="14598" width="47.19921875" style="172" customWidth="1"/>
    <col min="14599" max="14599" width="10.19921875" style="172" customWidth="1"/>
    <col min="14600" max="14600" width="41.796875" style="172" customWidth="1"/>
    <col min="14601" max="14601" width="11.19921875" style="172" customWidth="1"/>
    <col min="14602" max="14602" width="10.5" style="172" customWidth="1"/>
    <col min="14603" max="14603" width="16" style="172" bestFit="1" customWidth="1"/>
    <col min="14604" max="14604" width="13.19921875" style="172" customWidth="1"/>
    <col min="14605" max="14605" width="11.796875" style="172" customWidth="1"/>
    <col min="14606" max="14606" width="9.69921875" style="172" customWidth="1"/>
    <col min="14607" max="14848" width="10.69921875" style="172"/>
    <col min="14849" max="14849" width="9" style="172" customWidth="1"/>
    <col min="14850" max="14850" width="6.296875" style="172" customWidth="1"/>
    <col min="14851" max="14851" width="33.5" style="172" bestFit="1" customWidth="1"/>
    <col min="14852" max="14852" width="45.5" style="172" bestFit="1" customWidth="1"/>
    <col min="14853" max="14853" width="8.796875" style="172" customWidth="1"/>
    <col min="14854" max="14854" width="47.19921875" style="172" customWidth="1"/>
    <col min="14855" max="14855" width="10.19921875" style="172" customWidth="1"/>
    <col min="14856" max="14856" width="41.796875" style="172" customWidth="1"/>
    <col min="14857" max="14857" width="11.19921875" style="172" customWidth="1"/>
    <col min="14858" max="14858" width="10.5" style="172" customWidth="1"/>
    <col min="14859" max="14859" width="16" style="172" bestFit="1" customWidth="1"/>
    <col min="14860" max="14860" width="13.19921875" style="172" customWidth="1"/>
    <col min="14861" max="14861" width="11.796875" style="172" customWidth="1"/>
    <col min="14862" max="14862" width="9.69921875" style="172" customWidth="1"/>
    <col min="14863" max="15104" width="10.69921875" style="172"/>
    <col min="15105" max="15105" width="9" style="172" customWidth="1"/>
    <col min="15106" max="15106" width="6.296875" style="172" customWidth="1"/>
    <col min="15107" max="15107" width="33.5" style="172" bestFit="1" customWidth="1"/>
    <col min="15108" max="15108" width="45.5" style="172" bestFit="1" customWidth="1"/>
    <col min="15109" max="15109" width="8.796875" style="172" customWidth="1"/>
    <col min="15110" max="15110" width="47.19921875" style="172" customWidth="1"/>
    <col min="15111" max="15111" width="10.19921875" style="172" customWidth="1"/>
    <col min="15112" max="15112" width="41.796875" style="172" customWidth="1"/>
    <col min="15113" max="15113" width="11.19921875" style="172" customWidth="1"/>
    <col min="15114" max="15114" width="10.5" style="172" customWidth="1"/>
    <col min="15115" max="15115" width="16" style="172" bestFit="1" customWidth="1"/>
    <col min="15116" max="15116" width="13.19921875" style="172" customWidth="1"/>
    <col min="15117" max="15117" width="11.796875" style="172" customWidth="1"/>
    <col min="15118" max="15118" width="9.69921875" style="172" customWidth="1"/>
    <col min="15119" max="15360" width="10.69921875" style="172"/>
    <col min="15361" max="15361" width="9" style="172" customWidth="1"/>
    <col min="15362" max="15362" width="6.296875" style="172" customWidth="1"/>
    <col min="15363" max="15363" width="33.5" style="172" bestFit="1" customWidth="1"/>
    <col min="15364" max="15364" width="45.5" style="172" bestFit="1" customWidth="1"/>
    <col min="15365" max="15365" width="8.796875" style="172" customWidth="1"/>
    <col min="15366" max="15366" width="47.19921875" style="172" customWidth="1"/>
    <col min="15367" max="15367" width="10.19921875" style="172" customWidth="1"/>
    <col min="15368" max="15368" width="41.796875" style="172" customWidth="1"/>
    <col min="15369" max="15369" width="11.19921875" style="172" customWidth="1"/>
    <col min="15370" max="15370" width="10.5" style="172" customWidth="1"/>
    <col min="15371" max="15371" width="16" style="172" bestFit="1" customWidth="1"/>
    <col min="15372" max="15372" width="13.19921875" style="172" customWidth="1"/>
    <col min="15373" max="15373" width="11.796875" style="172" customWidth="1"/>
    <col min="15374" max="15374" width="9.69921875" style="172" customWidth="1"/>
    <col min="15375" max="15616" width="10.69921875" style="172"/>
    <col min="15617" max="15617" width="9" style="172" customWidth="1"/>
    <col min="15618" max="15618" width="6.296875" style="172" customWidth="1"/>
    <col min="15619" max="15619" width="33.5" style="172" bestFit="1" customWidth="1"/>
    <col min="15620" max="15620" width="45.5" style="172" bestFit="1" customWidth="1"/>
    <col min="15621" max="15621" width="8.796875" style="172" customWidth="1"/>
    <col min="15622" max="15622" width="47.19921875" style="172" customWidth="1"/>
    <col min="15623" max="15623" width="10.19921875" style="172" customWidth="1"/>
    <col min="15624" max="15624" width="41.796875" style="172" customWidth="1"/>
    <col min="15625" max="15625" width="11.19921875" style="172" customWidth="1"/>
    <col min="15626" max="15626" width="10.5" style="172" customWidth="1"/>
    <col min="15627" max="15627" width="16" style="172" bestFit="1" customWidth="1"/>
    <col min="15628" max="15628" width="13.19921875" style="172" customWidth="1"/>
    <col min="15629" max="15629" width="11.796875" style="172" customWidth="1"/>
    <col min="15630" max="15630" width="9.69921875" style="172" customWidth="1"/>
    <col min="15631" max="15872" width="10.69921875" style="172"/>
    <col min="15873" max="15873" width="9" style="172" customWidth="1"/>
    <col min="15874" max="15874" width="6.296875" style="172" customWidth="1"/>
    <col min="15875" max="15875" width="33.5" style="172" bestFit="1" customWidth="1"/>
    <col min="15876" max="15876" width="45.5" style="172" bestFit="1" customWidth="1"/>
    <col min="15877" max="15877" width="8.796875" style="172" customWidth="1"/>
    <col min="15878" max="15878" width="47.19921875" style="172" customWidth="1"/>
    <col min="15879" max="15879" width="10.19921875" style="172" customWidth="1"/>
    <col min="15880" max="15880" width="41.796875" style="172" customWidth="1"/>
    <col min="15881" max="15881" width="11.19921875" style="172" customWidth="1"/>
    <col min="15882" max="15882" width="10.5" style="172" customWidth="1"/>
    <col min="15883" max="15883" width="16" style="172" bestFit="1" customWidth="1"/>
    <col min="15884" max="15884" width="13.19921875" style="172" customWidth="1"/>
    <col min="15885" max="15885" width="11.796875" style="172" customWidth="1"/>
    <col min="15886" max="15886" width="9.69921875" style="172" customWidth="1"/>
    <col min="15887" max="16128" width="10.69921875" style="172"/>
    <col min="16129" max="16129" width="9" style="172" customWidth="1"/>
    <col min="16130" max="16130" width="6.296875" style="172" customWidth="1"/>
    <col min="16131" max="16131" width="33.5" style="172" bestFit="1" customWidth="1"/>
    <col min="16132" max="16132" width="45.5" style="172" bestFit="1" customWidth="1"/>
    <col min="16133" max="16133" width="8.796875" style="172" customWidth="1"/>
    <col min="16134" max="16134" width="47.19921875" style="172" customWidth="1"/>
    <col min="16135" max="16135" width="10.19921875" style="172" customWidth="1"/>
    <col min="16136" max="16136" width="41.796875" style="172" customWidth="1"/>
    <col min="16137" max="16137" width="11.19921875" style="172" customWidth="1"/>
    <col min="16138" max="16138" width="10.5" style="172" customWidth="1"/>
    <col min="16139" max="16139" width="16" style="172" bestFit="1" customWidth="1"/>
    <col min="16140" max="16140" width="13.19921875" style="172" customWidth="1"/>
    <col min="16141" max="16141" width="11.796875" style="172" customWidth="1"/>
    <col min="16142" max="16142" width="9.69921875" style="172" customWidth="1"/>
    <col min="16143" max="16384" width="10.69921875" style="172"/>
  </cols>
  <sheetData>
    <row r="1" spans="1:27" ht="14.25" customHeight="1" x14ac:dyDescent="0.35">
      <c r="A1" s="171"/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200"/>
      <c r="U1" s="200"/>
      <c r="V1" s="200"/>
      <c r="W1" s="200"/>
      <c r="X1" s="200"/>
    </row>
    <row r="2" spans="1:27" ht="14.25" customHeight="1" x14ac:dyDescent="0.35">
      <c r="A2" s="173" t="s">
        <v>666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201"/>
      <c r="U2" s="201"/>
      <c r="V2" s="201"/>
      <c r="W2" s="201"/>
      <c r="X2" s="201"/>
    </row>
    <row r="3" spans="1:27" ht="14.25" customHeight="1" x14ac:dyDescent="0.35">
      <c r="A3" s="171"/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200"/>
      <c r="U3" s="200"/>
      <c r="V3" s="200"/>
      <c r="W3" s="200"/>
      <c r="X3" s="200"/>
    </row>
    <row r="4" spans="1:27" ht="15.5" x14ac:dyDescent="0.35">
      <c r="A4" s="174" t="s">
        <v>43</v>
      </c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5"/>
      <c r="M4" s="175"/>
      <c r="N4" s="174" t="s">
        <v>1</v>
      </c>
      <c r="P4" s="199"/>
      <c r="Q4" s="199"/>
      <c r="R4" s="199"/>
      <c r="S4" s="202" t="s">
        <v>166</v>
      </c>
      <c r="U4" s="199"/>
      <c r="V4" s="199"/>
      <c r="W4" s="199"/>
      <c r="X4" s="199"/>
    </row>
    <row r="5" spans="1:27" x14ac:dyDescent="0.35">
      <c r="A5" s="176" t="s">
        <v>190</v>
      </c>
      <c r="B5" s="176" t="s">
        <v>191</v>
      </c>
      <c r="C5" s="176" t="s">
        <v>192</v>
      </c>
      <c r="D5" s="176" t="s">
        <v>193</v>
      </c>
      <c r="E5" s="176" t="s">
        <v>194</v>
      </c>
      <c r="F5" s="176" t="s">
        <v>227</v>
      </c>
      <c r="G5" s="176" t="s">
        <v>196</v>
      </c>
      <c r="H5" s="176" t="s">
        <v>197</v>
      </c>
      <c r="I5" s="176" t="s">
        <v>198</v>
      </c>
      <c r="J5" s="176" t="s">
        <v>2</v>
      </c>
      <c r="K5" s="177" t="s">
        <v>199</v>
      </c>
      <c r="L5" s="178" t="s">
        <v>214</v>
      </c>
      <c r="M5" s="178" t="s">
        <v>217</v>
      </c>
      <c r="N5" s="178" t="s">
        <v>254</v>
      </c>
      <c r="O5" s="178" t="s">
        <v>218</v>
      </c>
      <c r="P5" s="178" t="s">
        <v>219</v>
      </c>
      <c r="Q5" s="198" t="s">
        <v>228</v>
      </c>
      <c r="R5" s="198" t="s">
        <v>229</v>
      </c>
      <c r="S5" s="198" t="s">
        <v>255</v>
      </c>
      <c r="T5" s="198" t="s">
        <v>230</v>
      </c>
      <c r="U5" s="198" t="s">
        <v>231</v>
      </c>
      <c r="W5" s="172" t="s">
        <v>354</v>
      </c>
    </row>
    <row r="6" spans="1:27" x14ac:dyDescent="0.35">
      <c r="A6" s="176">
        <v>1</v>
      </c>
      <c r="B6" s="176">
        <v>2</v>
      </c>
      <c r="C6" s="246" t="s">
        <v>169</v>
      </c>
      <c r="D6" s="179" t="s">
        <v>576</v>
      </c>
      <c r="E6" s="179" t="s">
        <v>168</v>
      </c>
      <c r="F6" s="179" t="s">
        <v>577</v>
      </c>
      <c r="G6" s="179" t="s">
        <v>168</v>
      </c>
      <c r="H6" s="179" t="s">
        <v>170</v>
      </c>
      <c r="I6" s="180" t="s">
        <v>24</v>
      </c>
      <c r="J6" s="180">
        <v>2</v>
      </c>
      <c r="K6" s="181"/>
      <c r="L6" s="183">
        <f>IF(AND(E6="M",Tabla1532[[#This Row],[POS]]&lt;&gt;"AB",Tabla1532[[#This Row],[POS]]&lt;&gt;"DSQ"),COUNTIF($E$6:E6,"M"),"")</f>
        <v>1</v>
      </c>
      <c r="M6" s="183">
        <f>IF(E6="M",IF(Tabla1532[[#This Row],[Tiempo]]="AB","",LOOKUP(Tabla1532[[#This Row],[CLAS SCRATCH]],'Datos puntos'!$A$2:$A$23,'Datos puntos'!$B$2:$B$23)),"")</f>
        <v>25</v>
      </c>
      <c r="N6" s="183">
        <f>IF(AND(E6="M",Tabla1532[[#This Row],[POS]]&lt;&gt;"AB",Tabla1532[[#This Row],[POS]]&lt;&gt;"DSQ"),COUNTIFS($J$6:J6,Tabla1532[[#This Row],[Clase]],$E$6:E6,"M"),"")</f>
        <v>1</v>
      </c>
      <c r="O6" s="183">
        <f>IF(E6="M",IF(Tabla1532[[#This Row],[Tiempo]]="AB","",LOOKUP(Tabla1532[[#This Row],[CLAS CLASE]],'Datos puntos'!$A$25:$A$53,'Datos puntos'!$B$25:$B$53)),"")</f>
        <v>10</v>
      </c>
      <c r="P6" s="183">
        <f>IF(Tabla1532[[#This Row],[Puntos scratch]]="","NO PUNTÚA",SUM(Tabla1532[[#This Row],[Puntos scratch]],Tabla1532[[#This Row],[Puntos clase]]))</f>
        <v>35</v>
      </c>
      <c r="Q6" s="183">
        <f>IF(AND(G6="M",Tabla1532[[#This Row],[POS]]&lt;&gt;"AB",Tabla1532[[#This Row],[POS]]&lt;&gt;"DSQ"),COUNTIF($G$6:G6,"M"),"")</f>
        <v>1</v>
      </c>
      <c r="R6" s="183">
        <f>IF(G6="M",IF(Tabla1532[[#This Row],[Tiempo]]="AB","",LOOKUP(Tabla1532[[#This Row],[CLAS SCRATCH2]],'Datos puntos'!$A$2:$A$23,'Datos puntos'!$B$2:$B$23)),"")</f>
        <v>25</v>
      </c>
      <c r="S6" s="183">
        <f>IF(AND(G6="M",Tabla1532[[#This Row],[POS]]&lt;&gt;"AB",Tabla1532[[#This Row],[POS]]&lt;&gt;"DSQ"),COUNTIFS($J$6:J6,Tabla1532[[#This Row],[Clase]],$G$6:G6,"M"),"")</f>
        <v>1</v>
      </c>
      <c r="T6" s="183">
        <f>IF(G6="M",IF(Tabla1532[[#This Row],[Tiempo]]="AB","",LOOKUP(Tabla1532[[#This Row],[CLAS CLASE2]],'Datos puntos'!$A$25:$A$53,'Datos puntos'!$B$25:$B$53)),"")</f>
        <v>10</v>
      </c>
      <c r="U6" s="183">
        <f>IF(Tabla1532[[#This Row],[Puntos scratch3]]="","NO PUNTÚA",SUM(Tabla1532[[#This Row],[Puntos scratch3]],Tabla1532[[#This Row],[Puntos clase5]]))</f>
        <v>35</v>
      </c>
      <c r="W6" s="241">
        <v>25</v>
      </c>
      <c r="X6" s="251" t="s">
        <v>169</v>
      </c>
      <c r="Z6" s="250" t="s">
        <v>567</v>
      </c>
      <c r="AA6" s="172">
        <v>5</v>
      </c>
    </row>
    <row r="7" spans="1:27" s="185" customFormat="1" x14ac:dyDescent="0.35">
      <c r="A7" s="186">
        <v>2</v>
      </c>
      <c r="B7" s="176">
        <v>8</v>
      </c>
      <c r="C7" s="248" t="s">
        <v>588</v>
      </c>
      <c r="D7" s="179" t="s">
        <v>668</v>
      </c>
      <c r="E7" s="179" t="s">
        <v>168</v>
      </c>
      <c r="F7" s="179" t="s">
        <v>669</v>
      </c>
      <c r="G7" s="179" t="s">
        <v>168</v>
      </c>
      <c r="H7" s="179" t="s">
        <v>239</v>
      </c>
      <c r="I7" s="180" t="s">
        <v>24</v>
      </c>
      <c r="J7" s="180">
        <v>2</v>
      </c>
      <c r="K7" s="181"/>
      <c r="L7" s="183">
        <f>IF(AND(E7="M",Tabla1532[[#This Row],[POS]]&lt;&gt;"AB",Tabla1532[[#This Row],[POS]]&lt;&gt;"DSQ"),COUNTIF($E$6:E7,"M"),"")</f>
        <v>2</v>
      </c>
      <c r="M7" s="183">
        <f>IF(E7="M",IF(Tabla1532[[#This Row],[Tiempo]]="AB","",LOOKUP(Tabla1532[[#This Row],[CLAS SCRATCH]],'Datos puntos'!$A$2:$A$23,'Datos puntos'!$B$2:$B$23)),"")</f>
        <v>20</v>
      </c>
      <c r="N7" s="183">
        <f>IF(AND(E7="M",Tabla1532[[#This Row],[POS]]&lt;&gt;"AB",Tabla1532[[#This Row],[POS]]&lt;&gt;"DSQ"),COUNTIFS($J$6:J7,Tabla1532[[#This Row],[Clase]],$E$6:E7,"M"),"")</f>
        <v>2</v>
      </c>
      <c r="O7" s="183">
        <f>IF(E7="M",IF(Tabla1532[[#This Row],[Tiempo]]="AB","",LOOKUP(Tabla1532[[#This Row],[CLAS CLASE]],'Datos puntos'!$A$25:$A$53,'Datos puntos'!$B$25:$B$53)),"")</f>
        <v>8</v>
      </c>
      <c r="P7" s="183">
        <f>IF(Tabla1532[[#This Row],[Puntos scratch]]="","NO PUNTÚA",SUM(Tabla1532[[#This Row],[Puntos scratch]],Tabla1532[[#This Row],[Puntos clase]]))</f>
        <v>28</v>
      </c>
      <c r="Q7" s="183">
        <f>IF(AND(G7="M",Tabla1532[[#This Row],[POS]]&lt;&gt;"AB",Tabla1532[[#This Row],[POS]]&lt;&gt;"DSQ"),COUNTIF($G$6:G7,"M"),"")</f>
        <v>2</v>
      </c>
      <c r="R7" s="183">
        <f>IF(G7="M",IF(Tabla1532[[#This Row],[Tiempo]]="AB","",LOOKUP(Tabla1532[[#This Row],[CLAS SCRATCH2]],'Datos puntos'!$A$2:$A$23,'Datos puntos'!$B$2:$B$23)),"")</f>
        <v>20</v>
      </c>
      <c r="S7" s="183">
        <f>IF(AND(G7="M",Tabla1532[[#This Row],[POS]]&lt;&gt;"AB",Tabla1532[[#This Row],[POS]]&lt;&gt;"DSQ"),COUNTIFS($J$6:J7,Tabla1532[[#This Row],[Clase]],$G$6:G7,"M"),"")</f>
        <v>2</v>
      </c>
      <c r="T7" s="183">
        <f>IF(G7="M",IF(Tabla1532[[#This Row],[Tiempo]]="AB","",LOOKUP(Tabla1532[[#This Row],[CLAS CLASE2]],'Datos puntos'!$A$25:$A$53,'Datos puntos'!$B$25:$B$53)),"")</f>
        <v>8</v>
      </c>
      <c r="U7" s="183">
        <f>IF(Tabla1532[[#This Row],[Puntos scratch3]]="","NO PUNTÚA",SUM(Tabla1532[[#This Row],[Puntos scratch3]],Tabla1532[[#This Row],[Puntos clase5]]))</f>
        <v>28</v>
      </c>
      <c r="W7" s="241">
        <v>20</v>
      </c>
      <c r="X7" s="254" t="s">
        <v>588</v>
      </c>
      <c r="Z7" s="251" t="s">
        <v>169</v>
      </c>
      <c r="AA7" s="172">
        <f>25+17+10</f>
        <v>52</v>
      </c>
    </row>
    <row r="8" spans="1:27" x14ac:dyDescent="0.35">
      <c r="A8" s="176">
        <v>3</v>
      </c>
      <c r="B8" s="176">
        <v>1</v>
      </c>
      <c r="C8" s="246" t="s">
        <v>169</v>
      </c>
      <c r="D8" s="179" t="s">
        <v>574</v>
      </c>
      <c r="E8" s="179" t="s">
        <v>168</v>
      </c>
      <c r="F8" s="179" t="s">
        <v>575</v>
      </c>
      <c r="G8" s="179" t="s">
        <v>168</v>
      </c>
      <c r="H8" s="179" t="s">
        <v>170</v>
      </c>
      <c r="I8" s="180" t="s">
        <v>24</v>
      </c>
      <c r="J8" s="180">
        <v>2</v>
      </c>
      <c r="K8" s="181"/>
      <c r="L8" s="183">
        <f>IF(AND(E8="M",Tabla1532[[#This Row],[POS]]&lt;&gt;"AB",Tabla1532[[#This Row],[POS]]&lt;&gt;"DSQ"),COUNTIF($E$6:E8,"M"),"")</f>
        <v>3</v>
      </c>
      <c r="M8" s="183">
        <f>IF(E8="M",IF(Tabla1532[[#This Row],[Tiempo]]="AB","",LOOKUP(Tabla1532[[#This Row],[CLAS SCRATCH]],'Datos puntos'!$A$2:$A$23,'Datos puntos'!$B$2:$B$23)),"")</f>
        <v>17</v>
      </c>
      <c r="N8" s="183">
        <f>IF(AND(E8="M",Tabla1532[[#This Row],[POS]]&lt;&gt;"AB",Tabla1532[[#This Row],[POS]]&lt;&gt;"DSQ"),COUNTIFS($J$6:J8,Tabla1532[[#This Row],[Clase]],$E$6:E8,"M"),"")</f>
        <v>3</v>
      </c>
      <c r="O8" s="183">
        <f>IF(E8="M",IF(Tabla1532[[#This Row],[Tiempo]]="AB","",LOOKUP(Tabla1532[[#This Row],[CLAS CLASE]],'Datos puntos'!$A$25:$A$53,'Datos puntos'!$B$25:$B$53)),"")</f>
        <v>6</v>
      </c>
      <c r="P8" s="183">
        <f>IF(Tabla1532[[#This Row],[Puntos scratch]]="","NO PUNTÚA",SUM(Tabla1532[[#This Row],[Puntos scratch]],Tabla1532[[#This Row],[Puntos clase]]))</f>
        <v>23</v>
      </c>
      <c r="Q8" s="183">
        <f>IF(AND(G8="M",Tabla1532[[#This Row],[POS]]&lt;&gt;"AB",Tabla1532[[#This Row],[POS]]&lt;&gt;"DSQ"),COUNTIF($G$6:G8,"M"),"")</f>
        <v>3</v>
      </c>
      <c r="R8" s="183">
        <f>IF(G8="M",IF(Tabla1532[[#This Row],[Tiempo]]="AB","",LOOKUP(Tabla1532[[#This Row],[CLAS SCRATCH2]],'Datos puntos'!$A$2:$A$23,'Datos puntos'!$B$2:$B$23)),"")</f>
        <v>17</v>
      </c>
      <c r="S8" s="183">
        <f>IF(AND(G8="M",Tabla1532[[#This Row],[POS]]&lt;&gt;"AB",Tabla1532[[#This Row],[POS]]&lt;&gt;"DSQ"),COUNTIFS($J$6:J8,Tabla1532[[#This Row],[Clase]],$G$6:G8,"M"),"")</f>
        <v>3</v>
      </c>
      <c r="T8" s="183">
        <f>IF(G8="M",IF(Tabla1532[[#This Row],[Tiempo]]="AB","",LOOKUP(Tabla1532[[#This Row],[CLAS CLASE2]],'Datos puntos'!$A$25:$A$53,'Datos puntos'!$B$25:$B$53)),"")</f>
        <v>6</v>
      </c>
      <c r="U8" s="183">
        <f>IF(Tabla1532[[#This Row],[Puntos scratch3]]="","NO PUNTÚA",SUM(Tabla1532[[#This Row],[Puntos scratch3]],Tabla1532[[#This Row],[Puntos clase5]]))</f>
        <v>23</v>
      </c>
      <c r="W8" s="241">
        <v>17</v>
      </c>
      <c r="X8" s="251" t="s">
        <v>169</v>
      </c>
      <c r="Z8" s="254" t="s">
        <v>588</v>
      </c>
      <c r="AA8" s="185">
        <f>20+15+3</f>
        <v>38</v>
      </c>
    </row>
    <row r="9" spans="1:27" x14ac:dyDescent="0.35">
      <c r="A9" s="176">
        <v>4</v>
      </c>
      <c r="B9" s="176">
        <v>5</v>
      </c>
      <c r="C9" s="248" t="s">
        <v>588</v>
      </c>
      <c r="D9" s="179" t="s">
        <v>174</v>
      </c>
      <c r="E9" s="179" t="s">
        <v>168</v>
      </c>
      <c r="F9" s="179" t="s">
        <v>589</v>
      </c>
      <c r="G9" s="179" t="s">
        <v>168</v>
      </c>
      <c r="H9" s="179" t="s">
        <v>294</v>
      </c>
      <c r="I9" s="180" t="s">
        <v>200</v>
      </c>
      <c r="J9" s="180">
        <v>1</v>
      </c>
      <c r="K9" s="181"/>
      <c r="L9" s="183">
        <f>IF(AND(E9="M",Tabla1532[[#This Row],[POS]]&lt;&gt;"AB",Tabla1532[[#This Row],[POS]]&lt;&gt;"DSQ"),COUNTIF($E$6:E9,"M"),"")</f>
        <v>4</v>
      </c>
      <c r="M9" s="183">
        <f>IF(E9="M",IF(Tabla1532[[#This Row],[Tiempo]]="AB","",LOOKUP(Tabla1532[[#This Row],[CLAS SCRATCH]],'Datos puntos'!$A$2:$A$23,'Datos puntos'!$B$2:$B$23)),"")</f>
        <v>15</v>
      </c>
      <c r="N9" s="183">
        <f>IF(AND(E9="M",Tabla1532[[#This Row],[POS]]&lt;&gt;"AB",Tabla1532[[#This Row],[POS]]&lt;&gt;"DSQ"),COUNTIFS($J$6:J9,Tabla1532[[#This Row],[Clase]],$E$6:E9,"M"),"")</f>
        <v>1</v>
      </c>
      <c r="O9" s="183">
        <f>IF(E9="M",IF(Tabla1532[[#This Row],[Tiempo]]="AB","",LOOKUP(Tabla1532[[#This Row],[CLAS CLASE]],'Datos puntos'!$A$25:$A$53,'Datos puntos'!$B$25:$B$53)),"")</f>
        <v>10</v>
      </c>
      <c r="P9" s="183">
        <f>IF(Tabla1532[[#This Row],[Puntos scratch]]="","NO PUNTÚA",SUM(Tabla1532[[#This Row],[Puntos scratch]],Tabla1532[[#This Row],[Puntos clase]]))</f>
        <v>25</v>
      </c>
      <c r="Q9" s="183">
        <f>IF(AND(G9="M",Tabla1532[[#This Row],[POS]]&lt;&gt;"AB",Tabla1532[[#This Row],[POS]]&lt;&gt;"DSQ"),COUNTIF($G$6:G9,"M"),"")</f>
        <v>4</v>
      </c>
      <c r="R9" s="183">
        <f>IF(G9="M",IF(Tabla1532[[#This Row],[Tiempo]]="AB","",LOOKUP(Tabla1532[[#This Row],[CLAS SCRATCH2]],'Datos puntos'!$A$2:$A$23,'Datos puntos'!$B$2:$B$23)),"")</f>
        <v>15</v>
      </c>
      <c r="S9" s="183">
        <f>IF(AND(G9="M",Tabla1532[[#This Row],[POS]]&lt;&gt;"AB",Tabla1532[[#This Row],[POS]]&lt;&gt;"DSQ"),COUNTIFS($J$6:J9,Tabla1532[[#This Row],[Clase]],$G$6:G9,"M"),"")</f>
        <v>1</v>
      </c>
      <c r="T9" s="183">
        <f>IF(G9="M",IF(Tabla1532[[#This Row],[Tiempo]]="AB","",LOOKUP(Tabla1532[[#This Row],[CLAS CLASE2]],'Datos puntos'!$A$25:$A$53,'Datos puntos'!$B$25:$B$53)),"")</f>
        <v>10</v>
      </c>
      <c r="U9" s="183">
        <f>IF(Tabla1532[[#This Row],[Puntos scratch3]]="","NO PUNTÚA",SUM(Tabla1532[[#This Row],[Puntos scratch3]],Tabla1532[[#This Row],[Puntos clase5]]))</f>
        <v>25</v>
      </c>
      <c r="W9" s="241">
        <v>15</v>
      </c>
      <c r="X9" s="254" t="s">
        <v>588</v>
      </c>
      <c r="Z9" s="252" t="s">
        <v>172</v>
      </c>
      <c r="AA9" s="172">
        <v>26</v>
      </c>
    </row>
    <row r="10" spans="1:27" x14ac:dyDescent="0.35">
      <c r="A10" s="176">
        <v>5</v>
      </c>
      <c r="B10" s="176">
        <v>18</v>
      </c>
      <c r="C10" s="179" t="s">
        <v>667</v>
      </c>
      <c r="D10" s="179" t="s">
        <v>212</v>
      </c>
      <c r="E10" s="468" t="s">
        <v>168</v>
      </c>
      <c r="F10" s="179" t="s">
        <v>583</v>
      </c>
      <c r="G10" s="179" t="s">
        <v>603</v>
      </c>
      <c r="H10" s="179" t="s">
        <v>381</v>
      </c>
      <c r="I10" s="180" t="s">
        <v>24</v>
      </c>
      <c r="J10" s="180">
        <v>3</v>
      </c>
      <c r="K10" s="181"/>
      <c r="L10" s="183">
        <f>IF(AND(E10="M",Tabla1532[[#This Row],[POS]]&lt;&gt;"AB",Tabla1532[[#This Row],[POS]]&lt;&gt;"DSQ"),COUNTIF($E$6:E10,"M"),"")</f>
        <v>5</v>
      </c>
      <c r="M10" s="183">
        <f>IF(E10="M",IF(Tabla1532[[#This Row],[Tiempo]]="AB","",LOOKUP(Tabla1532[[#This Row],[CLAS SCRATCH]],'Datos puntos'!$A$2:$A$23,'Datos puntos'!$B$2:$B$23)),"")</f>
        <v>12</v>
      </c>
      <c r="N10" s="183">
        <f>IF(AND(E10="M",Tabla1532[[#This Row],[POS]]&lt;&gt;"AB",Tabla1532[[#This Row],[POS]]&lt;&gt;"DSQ"),COUNTIFS($J$6:J10,Tabla1532[[#This Row],[Clase]],$E$6:E10,"M"),"")</f>
        <v>1</v>
      </c>
      <c r="O10" s="183">
        <f>IF(E10="M",IF(Tabla1532[[#This Row],[Tiempo]]="AB","",LOOKUP(Tabla1532[[#This Row],[CLAS CLASE]],'Datos puntos'!$A$25:$A$53,'Datos puntos'!$B$25:$B$53)),"")</f>
        <v>10</v>
      </c>
      <c r="P10" s="183">
        <f>IF(Tabla1532[[#This Row],[Puntos scratch]]="","NO PUNTÚA",SUM(Tabla1532[[#This Row],[Puntos scratch]],Tabla1532[[#This Row],[Puntos clase]]))</f>
        <v>22</v>
      </c>
      <c r="Q10" s="183" t="str">
        <f>IF(AND(G10="M",Tabla1532[[#This Row],[POS]]&lt;&gt;"AB",Tabla1532[[#This Row],[POS]]&lt;&gt;"DSQ"),COUNTIF($G$6:G10,"M"),"")</f>
        <v/>
      </c>
      <c r="R10" s="183" t="str">
        <f>IF(G10="M",IF(Tabla1532[[#This Row],[Tiempo]]="AB","",LOOKUP(Tabla1532[[#This Row],[CLAS SCRATCH2]],'Datos puntos'!$A$2:$A$23,'Datos puntos'!$B$2:$B$23)),"")</f>
        <v/>
      </c>
      <c r="S10" s="183" t="str">
        <f>IF(AND(G10="M",Tabla1532[[#This Row],[POS]]&lt;&gt;"AB",Tabla1532[[#This Row],[POS]]&lt;&gt;"DSQ"),COUNTIFS($J$6:J10,Tabla1532[[#This Row],[Clase]],$G$6:G10,"M"),"")</f>
        <v/>
      </c>
      <c r="T10" s="183" t="str">
        <f>IF(G10="M",IF(Tabla1532[[#This Row],[Tiempo]]="AB","",LOOKUP(Tabla1532[[#This Row],[CLAS CLASE2]],'Datos puntos'!$A$25:$A$53,'Datos puntos'!$B$25:$B$53)),"")</f>
        <v/>
      </c>
      <c r="U10" s="183" t="str">
        <f>IF(Tabla1532[[#This Row],[Puntos scratch3]]="","NO PUNTÚA",SUM(Tabla1532[[#This Row],[Puntos scratch3]],Tabla1532[[#This Row],[Puntos clase5]]))</f>
        <v>NO PUNTÚA</v>
      </c>
      <c r="W10" s="241">
        <v>12</v>
      </c>
      <c r="X10" s="252" t="s">
        <v>172</v>
      </c>
      <c r="Z10" s="268"/>
    </row>
    <row r="11" spans="1:27" x14ac:dyDescent="0.35">
      <c r="A11" s="184">
        <v>6</v>
      </c>
      <c r="B11" s="176">
        <v>7</v>
      </c>
      <c r="C11" s="245" t="s">
        <v>172</v>
      </c>
      <c r="D11" s="179" t="s">
        <v>368</v>
      </c>
      <c r="E11" s="179" t="s">
        <v>168</v>
      </c>
      <c r="F11" s="179" t="s">
        <v>590</v>
      </c>
      <c r="G11" s="179" t="s">
        <v>168</v>
      </c>
      <c r="H11" s="179" t="s">
        <v>201</v>
      </c>
      <c r="I11" s="180" t="s">
        <v>24</v>
      </c>
      <c r="J11" s="180">
        <v>3</v>
      </c>
      <c r="K11" s="181"/>
      <c r="L11" s="183">
        <f>IF(AND(E11="M",Tabla1532[[#This Row],[POS]]&lt;&gt;"AB",Tabla1532[[#This Row],[POS]]&lt;&gt;"DSQ"),COUNTIF($E$6:E11,"M"),"")</f>
        <v>6</v>
      </c>
      <c r="M11" s="183">
        <f>IF(E11="M",IF(Tabla1532[[#This Row],[Tiempo]]="AB","",LOOKUP(Tabla1532[[#This Row],[CLAS SCRATCH]],'Datos puntos'!$A$2:$A$23,'Datos puntos'!$B$2:$B$23)),"")</f>
        <v>10</v>
      </c>
      <c r="N11" s="183">
        <f>IF(AND(E11="M",Tabla1532[[#This Row],[POS]]&lt;&gt;"AB",Tabla1532[[#This Row],[POS]]&lt;&gt;"DSQ"),COUNTIFS($J$6:J11,Tabla1532[[#This Row],[Clase]],$E$6:E11,"M"),"")</f>
        <v>2</v>
      </c>
      <c r="O11" s="183">
        <f>IF(E11="M",IF(Tabla1532[[#This Row],[Tiempo]]="AB","",LOOKUP(Tabla1532[[#This Row],[CLAS CLASE]],'Datos puntos'!$A$25:$A$53,'Datos puntos'!$B$25:$B$53)),"")</f>
        <v>8</v>
      </c>
      <c r="P11" s="183">
        <f>IF(Tabla1532[[#This Row],[Puntos scratch]]="","NO PUNTÚA",SUM(Tabla1532[[#This Row],[Puntos scratch]],Tabla1532[[#This Row],[Puntos clase]]))</f>
        <v>18</v>
      </c>
      <c r="Q11" s="183">
        <f>IF(AND(G11="M",Tabla1532[[#This Row],[POS]]&lt;&gt;"AB",Tabla1532[[#This Row],[POS]]&lt;&gt;"DSQ"),COUNTIF($G$6:G11,"M"),"")</f>
        <v>5</v>
      </c>
      <c r="R11" s="183">
        <f>IF(G11="M",IF(Tabla1532[[#This Row],[Tiempo]]="AB","",LOOKUP(Tabla1532[[#This Row],[CLAS SCRATCH2]],'Datos puntos'!$A$2:$A$23,'Datos puntos'!$B$2:$B$23)),"")</f>
        <v>12</v>
      </c>
      <c r="S11" s="183">
        <f>IF(AND(G11="M",Tabla1532[[#This Row],[POS]]&lt;&gt;"AB",Tabla1532[[#This Row],[POS]]&lt;&gt;"DSQ"),COUNTIFS($J$6:J11,Tabla1532[[#This Row],[Clase]],$G$6:G11,"M"),"")</f>
        <v>1</v>
      </c>
      <c r="T11" s="183">
        <f>IF(G11="M",IF(Tabla1532[[#This Row],[Tiempo]]="AB","",LOOKUP(Tabla1532[[#This Row],[CLAS CLASE2]],'Datos puntos'!$A$25:$A$53,'Datos puntos'!$B$25:$B$53)),"")</f>
        <v>10</v>
      </c>
      <c r="U11" s="183">
        <f>IF(Tabla1532[[#This Row],[Puntos scratch3]]="","NO PUNTÚA",SUM(Tabla1532[[#This Row],[Puntos scratch3]],Tabla1532[[#This Row],[Puntos clase5]]))</f>
        <v>22</v>
      </c>
      <c r="W11" s="241">
        <v>10</v>
      </c>
      <c r="X11" s="251" t="s">
        <v>169</v>
      </c>
      <c r="Z11" s="253" t="s">
        <v>330</v>
      </c>
      <c r="AA11" s="172">
        <v>4</v>
      </c>
    </row>
    <row r="12" spans="1:27" x14ac:dyDescent="0.35">
      <c r="A12" s="176">
        <v>7</v>
      </c>
      <c r="B12" s="176">
        <v>9</v>
      </c>
      <c r="C12" s="179" t="s">
        <v>236</v>
      </c>
      <c r="D12" s="179" t="s">
        <v>597</v>
      </c>
      <c r="E12" s="179" t="s">
        <v>168</v>
      </c>
      <c r="F12" s="179" t="s">
        <v>598</v>
      </c>
      <c r="G12" s="179" t="s">
        <v>168</v>
      </c>
      <c r="H12" s="179" t="s">
        <v>357</v>
      </c>
      <c r="I12" s="180" t="s">
        <v>24</v>
      </c>
      <c r="J12" s="180">
        <v>5</v>
      </c>
      <c r="K12" s="181"/>
      <c r="L12" s="183">
        <f>IF(AND(E12="M",Tabla1532[[#This Row],[POS]]&lt;&gt;"AB",Tabla1532[[#This Row],[POS]]&lt;&gt;"DSQ"),COUNTIF($E$6:E12,"M"),"")</f>
        <v>7</v>
      </c>
      <c r="M12" s="183">
        <f>IF(E12="M",IF(Tabla1532[[#This Row],[Tiempo]]="AB","",LOOKUP(Tabla1532[[#This Row],[CLAS SCRATCH]],'Datos puntos'!$A$2:$A$23,'Datos puntos'!$B$2:$B$23)),"")</f>
        <v>8</v>
      </c>
      <c r="N12" s="183">
        <f>IF(AND(E12="M",Tabla1532[[#This Row],[POS]]&lt;&gt;"AB",Tabla1532[[#This Row],[POS]]&lt;&gt;"DSQ"),COUNTIFS($J$6:J12,Tabla1532[[#This Row],[Clase]],$E$6:E12,"M"),"")</f>
        <v>1</v>
      </c>
      <c r="O12" s="183">
        <f>IF(E12="M",IF(Tabla1532[[#This Row],[Tiempo]]="AB","",LOOKUP(Tabla1532[[#This Row],[CLAS CLASE]],'Datos puntos'!$A$25:$A$53,'Datos puntos'!$B$25:$B$53)),"")</f>
        <v>10</v>
      </c>
      <c r="P12" s="183">
        <f>IF(Tabla1532[[#This Row],[Puntos scratch]]="","NO PUNTÚA",SUM(Tabla1532[[#This Row],[Puntos scratch]],Tabla1532[[#This Row],[Puntos clase]]))</f>
        <v>18</v>
      </c>
      <c r="Q12" s="183">
        <f>IF(AND(G12="M",Tabla1532[[#This Row],[POS]]&lt;&gt;"AB",Tabla1532[[#This Row],[POS]]&lt;&gt;"DSQ"),COUNTIF($G$6:G12,"M"),"")</f>
        <v>6</v>
      </c>
      <c r="R12" s="183">
        <f>IF(G12="M",IF(Tabla1532[[#This Row],[Tiempo]]="AB","",LOOKUP(Tabla1532[[#This Row],[CLAS SCRATCH2]],'Datos puntos'!$A$2:$A$23,'Datos puntos'!$B$2:$B$23)),"")</f>
        <v>10</v>
      </c>
      <c r="S12" s="183">
        <f>IF(AND(G12="M",Tabla1532[[#This Row],[POS]]&lt;&gt;"AB",Tabla1532[[#This Row],[POS]]&lt;&gt;"DSQ"),COUNTIFS($J$6:J12,Tabla1532[[#This Row],[Clase]],$G$6:G12,"M"),"")</f>
        <v>1</v>
      </c>
      <c r="T12" s="183">
        <f>IF(G12="M",IF(Tabla1532[[#This Row],[Tiempo]]="AB","",LOOKUP(Tabla1532[[#This Row],[CLAS CLASE2]],'Datos puntos'!$A$25:$A$53,'Datos puntos'!$B$25:$B$53)),"")</f>
        <v>10</v>
      </c>
      <c r="U12" s="183">
        <f>IF(Tabla1532[[#This Row],[Puntos scratch3]]="","NO PUNTÚA",SUM(Tabla1532[[#This Row],[Puntos scratch3]],Tabla1532[[#This Row],[Puntos clase5]]))</f>
        <v>20</v>
      </c>
      <c r="W12" s="241">
        <v>8</v>
      </c>
      <c r="X12" s="252" t="s">
        <v>172</v>
      </c>
      <c r="Z12" s="489" t="s">
        <v>609</v>
      </c>
      <c r="AA12" s="172">
        <v>2</v>
      </c>
    </row>
    <row r="13" spans="1:27" x14ac:dyDescent="0.35">
      <c r="A13" s="176">
        <v>8</v>
      </c>
      <c r="B13" s="176">
        <v>28</v>
      </c>
      <c r="C13" s="246" t="s">
        <v>169</v>
      </c>
      <c r="D13" s="179" t="s">
        <v>283</v>
      </c>
      <c r="E13" s="179" t="s">
        <v>168</v>
      </c>
      <c r="F13" s="179" t="s">
        <v>670</v>
      </c>
      <c r="G13" s="179" t="s">
        <v>168</v>
      </c>
      <c r="H13" s="179" t="s">
        <v>176</v>
      </c>
      <c r="I13" s="180" t="s">
        <v>24</v>
      </c>
      <c r="J13" s="180">
        <v>4</v>
      </c>
      <c r="K13" s="181"/>
      <c r="L13" s="183">
        <f>IF(AND(E13="M",Tabla1532[[#This Row],[POS]]&lt;&gt;"AB",Tabla1532[[#This Row],[POS]]&lt;&gt;"DSQ"),COUNTIF($E$6:E13,"M"),"")</f>
        <v>8</v>
      </c>
      <c r="M13" s="183">
        <f>IF(E13="M",IF(Tabla1532[[#This Row],[Tiempo]]="AB","",LOOKUP(Tabla1532[[#This Row],[CLAS SCRATCH]],'Datos puntos'!$A$2:$A$23,'Datos puntos'!$B$2:$B$23)),"")</f>
        <v>6</v>
      </c>
      <c r="N13" s="183">
        <f>IF(AND(E13="M",Tabla1532[[#This Row],[POS]]&lt;&gt;"AB",Tabla1532[[#This Row],[POS]]&lt;&gt;"DSQ"),COUNTIFS($J$6:J13,Tabla1532[[#This Row],[Clase]],$E$6:E13,"M"),"")</f>
        <v>1</v>
      </c>
      <c r="O13" s="183">
        <f>IF(E13="M",IF(Tabla1532[[#This Row],[Tiempo]]="AB","",LOOKUP(Tabla1532[[#This Row],[CLAS CLASE]],'Datos puntos'!$A$25:$A$53,'Datos puntos'!$B$25:$B$53)),"")</f>
        <v>10</v>
      </c>
      <c r="P13" s="183">
        <f>IF(Tabla1532[[#This Row],[Puntos scratch]]="","NO PUNTÚA",SUM(Tabla1532[[#This Row],[Puntos scratch]],Tabla1532[[#This Row],[Puntos clase]]))</f>
        <v>16</v>
      </c>
      <c r="Q13" s="183">
        <f>IF(AND(G13="M",Tabla1532[[#This Row],[POS]]&lt;&gt;"AB",Tabla1532[[#This Row],[POS]]&lt;&gt;"DSQ"),COUNTIF($G$6:G13,"M"),"")</f>
        <v>7</v>
      </c>
      <c r="R13" s="183">
        <f>IF(G13="M",IF(Tabla1532[[#This Row],[Tiempo]]="AB","",LOOKUP(Tabla1532[[#This Row],[CLAS SCRATCH2]],'Datos puntos'!$A$2:$A$23,'Datos puntos'!$B$2:$B$23)),"")</f>
        <v>8</v>
      </c>
      <c r="S13" s="183">
        <f>IF(AND(G13="M",Tabla1532[[#This Row],[POS]]&lt;&gt;"AB",Tabla1532[[#This Row],[POS]]&lt;&gt;"DSQ"),COUNTIFS($J$6:J13,Tabla1532[[#This Row],[Clase]],$G$6:G13,"M"),"")</f>
        <v>1</v>
      </c>
      <c r="T13" s="183">
        <f>IF(G13="M",IF(Tabla1532[[#This Row],[Tiempo]]="AB","",LOOKUP(Tabla1532[[#This Row],[CLAS CLASE2]],'Datos puntos'!$A$25:$A$53,'Datos puntos'!$B$25:$B$53)),"")</f>
        <v>10</v>
      </c>
      <c r="U13" s="183">
        <f>IF(Tabla1532[[#This Row],[Puntos scratch3]]="","NO PUNTÚA",SUM(Tabla1532[[#This Row],[Puntos scratch3]],Tabla1532[[#This Row],[Puntos clase5]]))</f>
        <v>18</v>
      </c>
      <c r="W13" s="241">
        <v>6</v>
      </c>
      <c r="X13" s="252" t="s">
        <v>172</v>
      </c>
    </row>
    <row r="14" spans="1:27" x14ac:dyDescent="0.35">
      <c r="A14" s="176">
        <v>9</v>
      </c>
      <c r="B14" s="176">
        <v>26</v>
      </c>
      <c r="C14" s="179" t="s">
        <v>591</v>
      </c>
      <c r="D14" s="179" t="s">
        <v>671</v>
      </c>
      <c r="E14" s="179" t="s">
        <v>168</v>
      </c>
      <c r="F14" s="179" t="s">
        <v>672</v>
      </c>
      <c r="G14" s="179" t="s">
        <v>168</v>
      </c>
      <c r="H14" s="179" t="s">
        <v>314</v>
      </c>
      <c r="I14" s="180" t="s">
        <v>24</v>
      </c>
      <c r="J14" s="180">
        <v>3</v>
      </c>
      <c r="K14" s="181"/>
      <c r="L14" s="183">
        <f>IF(AND(E14="M",Tabla1532[[#This Row],[POS]]&lt;&gt;"AB",Tabla1532[[#This Row],[POS]]&lt;&gt;"DSQ"),COUNTIF($E$6:E14,"M"),"")</f>
        <v>9</v>
      </c>
      <c r="M14" s="183">
        <f>IF(E14="M",IF(Tabla1532[[#This Row],[Tiempo]]="AB","",LOOKUP(Tabla1532[[#This Row],[CLAS SCRATCH]],'Datos puntos'!$A$2:$A$23,'Datos puntos'!$B$2:$B$23)),"")</f>
        <v>5</v>
      </c>
      <c r="N14" s="183">
        <f>IF(AND(E14="M",Tabla1532[[#This Row],[POS]]&lt;&gt;"AB",Tabla1532[[#This Row],[POS]]&lt;&gt;"DSQ"),COUNTIFS($J$6:J14,Tabla1532[[#This Row],[Clase]],$E$6:E14,"M"),"")</f>
        <v>3</v>
      </c>
      <c r="O14" s="183">
        <f>IF(E14="M",IF(Tabla1532[[#This Row],[Tiempo]]="AB","",LOOKUP(Tabla1532[[#This Row],[CLAS CLASE]],'Datos puntos'!$A$25:$A$53,'Datos puntos'!$B$25:$B$53)),"")</f>
        <v>6</v>
      </c>
      <c r="P14" s="183">
        <f>IF(Tabla1532[[#This Row],[Puntos scratch]]="","NO PUNTÚA",SUM(Tabla1532[[#This Row],[Puntos scratch]],Tabla1532[[#This Row],[Puntos clase]]))</f>
        <v>11</v>
      </c>
      <c r="Q14" s="183">
        <f>IF(AND(G14="M",Tabla1532[[#This Row],[POS]]&lt;&gt;"AB",Tabla1532[[#This Row],[POS]]&lt;&gt;"DSQ"),COUNTIF($G$6:G14,"M"),"")</f>
        <v>8</v>
      </c>
      <c r="R14" s="183">
        <f>IF(G14="M",IF(Tabla1532[[#This Row],[Tiempo]]="AB","",LOOKUP(Tabla1532[[#This Row],[CLAS SCRATCH2]],'Datos puntos'!$A$2:$A$23,'Datos puntos'!$B$2:$B$23)),"")</f>
        <v>6</v>
      </c>
      <c r="S14" s="183">
        <f>IF(AND(G14="M",Tabla1532[[#This Row],[POS]]&lt;&gt;"AB",Tabla1532[[#This Row],[POS]]&lt;&gt;"DSQ"),COUNTIFS($J$6:J14,Tabla1532[[#This Row],[Clase]],$G$6:G14,"M"),"")</f>
        <v>2</v>
      </c>
      <c r="T14" s="183">
        <f>IF(G14="M",IF(Tabla1532[[#This Row],[Tiempo]]="AB","",LOOKUP(Tabla1532[[#This Row],[CLAS CLASE2]],'Datos puntos'!$A$25:$A$53,'Datos puntos'!$B$25:$B$53)),"")</f>
        <v>8</v>
      </c>
      <c r="U14" s="183">
        <f>IF(Tabla1532[[#This Row],[Puntos scratch3]]="","NO PUNTÚA",SUM(Tabla1532[[#This Row],[Puntos scratch3]],Tabla1532[[#This Row],[Puntos clase5]]))</f>
        <v>14</v>
      </c>
      <c r="W14" s="241">
        <v>5</v>
      </c>
      <c r="X14" s="250" t="s">
        <v>567</v>
      </c>
    </row>
    <row r="15" spans="1:27" x14ac:dyDescent="0.35">
      <c r="A15" s="184">
        <v>10</v>
      </c>
      <c r="B15" s="176">
        <v>11</v>
      </c>
      <c r="C15" s="245" t="s">
        <v>172</v>
      </c>
      <c r="D15" s="179" t="s">
        <v>626</v>
      </c>
      <c r="E15" s="179" t="s">
        <v>168</v>
      </c>
      <c r="F15" s="179" t="s">
        <v>627</v>
      </c>
      <c r="G15" s="179" t="s">
        <v>168</v>
      </c>
      <c r="H15" s="179" t="s">
        <v>298</v>
      </c>
      <c r="I15" s="180" t="s">
        <v>200</v>
      </c>
      <c r="J15" s="180">
        <v>5</v>
      </c>
      <c r="K15" s="181"/>
      <c r="L15" s="183">
        <f>IF(AND(E15="M",Tabla1532[[#This Row],[POS]]&lt;&gt;"AB",Tabla1532[[#This Row],[POS]]&lt;&gt;"DSQ"),COUNTIF($E$6:E15,"M"),"")</f>
        <v>10</v>
      </c>
      <c r="M15" s="183">
        <f>IF(E15="M",IF(Tabla1532[[#This Row],[Tiempo]]="AB","",LOOKUP(Tabla1532[[#This Row],[CLAS SCRATCH]],'Datos puntos'!$A$2:$A$23,'Datos puntos'!$B$2:$B$23)),"")</f>
        <v>4</v>
      </c>
      <c r="N15" s="183">
        <f>IF(AND(E15="M",Tabla1532[[#This Row],[POS]]&lt;&gt;"AB",Tabla1532[[#This Row],[POS]]&lt;&gt;"DSQ"),COUNTIFS($J$6:J15,Tabla1532[[#This Row],[Clase]],$E$6:E15,"M"),"")</f>
        <v>2</v>
      </c>
      <c r="O15" s="183">
        <f>IF(E15="M",IF(Tabla1532[[#This Row],[Tiempo]]="AB","",LOOKUP(Tabla1532[[#This Row],[CLAS CLASE]],'Datos puntos'!$A$25:$A$53,'Datos puntos'!$B$25:$B$53)),"")</f>
        <v>8</v>
      </c>
      <c r="P15" s="183">
        <f>IF(Tabla1532[[#This Row],[Puntos scratch]]="","NO PUNTÚA",SUM(Tabla1532[[#This Row],[Puntos scratch]],Tabla1532[[#This Row],[Puntos clase]]))</f>
        <v>12</v>
      </c>
      <c r="Q15" s="183">
        <f>IF(AND(G15="M",Tabla1532[[#This Row],[POS]]&lt;&gt;"AB",Tabla1532[[#This Row],[POS]]&lt;&gt;"DSQ"),COUNTIF($G$6:G15,"M"),"")</f>
        <v>9</v>
      </c>
      <c r="R15" s="183">
        <f>IF(G15="M",IF(Tabla1532[[#This Row],[Tiempo]]="AB","",LOOKUP(Tabla1532[[#This Row],[CLAS SCRATCH2]],'Datos puntos'!$A$2:$A$23,'Datos puntos'!$B$2:$B$23)),"")</f>
        <v>5</v>
      </c>
      <c r="S15" s="183">
        <f>IF(AND(G15="M",Tabla1532[[#This Row],[POS]]&lt;&gt;"AB",Tabla1532[[#This Row],[POS]]&lt;&gt;"DSQ"),COUNTIFS($J$6:J15,Tabla1532[[#This Row],[Clase]],$G$6:G15,"M"),"")</f>
        <v>2</v>
      </c>
      <c r="T15" s="183">
        <f>IF(G15="M",IF(Tabla1532[[#This Row],[Tiempo]]="AB","",LOOKUP(Tabla1532[[#This Row],[CLAS CLASE2]],'Datos puntos'!$A$25:$A$53,'Datos puntos'!$B$25:$B$53)),"")</f>
        <v>8</v>
      </c>
      <c r="U15" s="183">
        <f>IF(Tabla1532[[#This Row],[Puntos scratch3]]="","NO PUNTÚA",SUM(Tabla1532[[#This Row],[Puntos scratch3]],Tabla1532[[#This Row],[Puntos clase5]]))</f>
        <v>13</v>
      </c>
      <c r="W15" s="241">
        <v>4</v>
      </c>
      <c r="X15" s="253" t="s">
        <v>330</v>
      </c>
      <c r="Z15" s="172" t="s">
        <v>304</v>
      </c>
      <c r="AA15" s="172">
        <v>0</v>
      </c>
    </row>
    <row r="16" spans="1:27" x14ac:dyDescent="0.35">
      <c r="A16" s="176">
        <v>11</v>
      </c>
      <c r="B16" s="176">
        <v>23</v>
      </c>
      <c r="C16" s="245" t="s">
        <v>172</v>
      </c>
      <c r="D16" s="179" t="s">
        <v>595</v>
      </c>
      <c r="E16" s="179" t="s">
        <v>168</v>
      </c>
      <c r="F16" s="179" t="s">
        <v>596</v>
      </c>
      <c r="G16" s="179" t="s">
        <v>168</v>
      </c>
      <c r="H16" s="179" t="s">
        <v>314</v>
      </c>
      <c r="I16" s="180" t="s">
        <v>24</v>
      </c>
      <c r="J16" s="180">
        <v>3</v>
      </c>
      <c r="K16" s="181"/>
      <c r="L16" s="183">
        <f>IF(AND(E16="M",Tabla1532[[#This Row],[POS]]&lt;&gt;"AB",Tabla1532[[#This Row],[POS]]&lt;&gt;"DSQ"),COUNTIF($E$6:E16,"M"),"")</f>
        <v>11</v>
      </c>
      <c r="M16" s="183">
        <f>IF(E16="M",IF(Tabla1532[[#This Row],[Tiempo]]="AB","",LOOKUP(Tabla1532[[#This Row],[CLAS SCRATCH]],'Datos puntos'!$A$2:$A$23,'Datos puntos'!$B$2:$B$23)),"")</f>
        <v>3</v>
      </c>
      <c r="N16" s="183">
        <f>IF(AND(E16="M",Tabla1532[[#This Row],[POS]]&lt;&gt;"AB",Tabla1532[[#This Row],[POS]]&lt;&gt;"DSQ"),COUNTIFS($J$6:J16,Tabla1532[[#This Row],[Clase]],$E$6:E16,"M"),"")</f>
        <v>4</v>
      </c>
      <c r="O16" s="183">
        <f>IF(E16="M",IF(Tabla1532[[#This Row],[Tiempo]]="AB","",LOOKUP(Tabla1532[[#This Row],[CLAS CLASE]],'Datos puntos'!$A$25:$A$53,'Datos puntos'!$B$25:$B$53)),"")</f>
        <v>5</v>
      </c>
      <c r="P16" s="183">
        <f>IF(Tabla1532[[#This Row],[Puntos scratch]]="","NO PUNTÚA",SUM(Tabla1532[[#This Row],[Puntos scratch]],Tabla1532[[#This Row],[Puntos clase]]))</f>
        <v>8</v>
      </c>
      <c r="Q16" s="183">
        <f>IF(AND(G16="M",Tabla1532[[#This Row],[POS]]&lt;&gt;"AB",Tabla1532[[#This Row],[POS]]&lt;&gt;"DSQ"),COUNTIF($G$6:G16,"M"),"")</f>
        <v>10</v>
      </c>
      <c r="R16" s="183">
        <f>IF(G16="M",IF(Tabla1532[[#This Row],[Tiempo]]="AB","",LOOKUP(Tabla1532[[#This Row],[CLAS SCRATCH2]],'Datos puntos'!$A$2:$A$23,'Datos puntos'!$B$2:$B$23)),"")</f>
        <v>4</v>
      </c>
      <c r="S16" s="183">
        <f>IF(AND(G16="M",Tabla1532[[#This Row],[POS]]&lt;&gt;"AB",Tabla1532[[#This Row],[POS]]&lt;&gt;"DSQ"),COUNTIFS($J$6:J16,Tabla1532[[#This Row],[Clase]],$G$6:G16,"M"),"")</f>
        <v>3</v>
      </c>
      <c r="T16" s="183">
        <f>IF(G16="M",IF(Tabla1532[[#This Row],[Tiempo]]="AB","",LOOKUP(Tabla1532[[#This Row],[CLAS CLASE2]],'Datos puntos'!$A$25:$A$53,'Datos puntos'!$B$25:$B$53)),"")</f>
        <v>6</v>
      </c>
      <c r="U16" s="183">
        <f>IF(Tabla1532[[#This Row],[Puntos scratch3]]="","NO PUNTÚA",SUM(Tabla1532[[#This Row],[Puntos scratch3]],Tabla1532[[#This Row],[Puntos clase5]]))</f>
        <v>10</v>
      </c>
      <c r="W16" s="241">
        <v>3</v>
      </c>
      <c r="X16" s="254" t="s">
        <v>588</v>
      </c>
    </row>
    <row r="17" spans="1:24" x14ac:dyDescent="0.35">
      <c r="A17" s="176">
        <v>12</v>
      </c>
      <c r="B17" s="176">
        <v>24</v>
      </c>
      <c r="C17" s="244" t="s">
        <v>567</v>
      </c>
      <c r="D17" s="179" t="s">
        <v>606</v>
      </c>
      <c r="E17" s="179" t="s">
        <v>168</v>
      </c>
      <c r="F17" s="179" t="s">
        <v>673</v>
      </c>
      <c r="G17" s="179" t="s">
        <v>168</v>
      </c>
      <c r="H17" s="179" t="s">
        <v>314</v>
      </c>
      <c r="I17" s="180" t="s">
        <v>24</v>
      </c>
      <c r="J17" s="180">
        <v>3</v>
      </c>
      <c r="K17" s="181"/>
      <c r="L17" s="183">
        <f>IF(AND(E17="M",Tabla1532[[#This Row],[POS]]&lt;&gt;"AB",Tabla1532[[#This Row],[POS]]&lt;&gt;"DSQ"),COUNTIF($E$6:E17,"M"),"")</f>
        <v>12</v>
      </c>
      <c r="M17" s="183">
        <f>IF(E17="M",IF(Tabla1532[[#This Row],[Tiempo]]="AB","",LOOKUP(Tabla1532[[#This Row],[CLAS SCRATCH]],'Datos puntos'!$A$2:$A$23,'Datos puntos'!$B$2:$B$23)),"")</f>
        <v>2</v>
      </c>
      <c r="N17" s="183">
        <f>IF(AND(E17="M",Tabla1532[[#This Row],[POS]]&lt;&gt;"AB",Tabla1532[[#This Row],[POS]]&lt;&gt;"DSQ"),COUNTIFS($J$6:J17,Tabla1532[[#This Row],[Clase]],$E$6:E17,"M"),"")</f>
        <v>5</v>
      </c>
      <c r="O17" s="183">
        <f>IF(E17="M",IF(Tabla1532[[#This Row],[Tiempo]]="AB","",LOOKUP(Tabla1532[[#This Row],[CLAS CLASE]],'Datos puntos'!$A$25:$A$53,'Datos puntos'!$B$25:$B$53)),"")</f>
        <v>3</v>
      </c>
      <c r="P17" s="183">
        <f>IF(Tabla1532[[#This Row],[Puntos scratch]]="","NO PUNTÚA",SUM(Tabla1532[[#This Row],[Puntos scratch]],Tabla1532[[#This Row],[Puntos clase]]))</f>
        <v>5</v>
      </c>
      <c r="Q17" s="183">
        <f>IF(AND(G17="M",Tabla1532[[#This Row],[POS]]&lt;&gt;"AB",Tabla1532[[#This Row],[POS]]&lt;&gt;"DSQ"),COUNTIF($G$6:G17,"M"),"")</f>
        <v>11</v>
      </c>
      <c r="R17" s="183">
        <f>IF(G17="M",IF(Tabla1532[[#This Row],[Tiempo]]="AB","",LOOKUP(Tabla1532[[#This Row],[CLAS SCRATCH2]],'Datos puntos'!$A$2:$A$23,'Datos puntos'!$B$2:$B$23)),"")</f>
        <v>3</v>
      </c>
      <c r="S17" s="183">
        <f>IF(AND(G17="M",Tabla1532[[#This Row],[POS]]&lt;&gt;"AB",Tabla1532[[#This Row],[POS]]&lt;&gt;"DSQ"),COUNTIFS($J$6:J17,Tabla1532[[#This Row],[Clase]],$G$6:G17,"M"),"")</f>
        <v>4</v>
      </c>
      <c r="T17" s="183">
        <f>IF(G17="M",IF(Tabla1532[[#This Row],[Tiempo]]="AB","",LOOKUP(Tabla1532[[#This Row],[CLAS CLASE2]],'Datos puntos'!$A$25:$A$53,'Datos puntos'!$B$25:$B$53)),"")</f>
        <v>5</v>
      </c>
      <c r="U17" s="183">
        <f>IF(Tabla1532[[#This Row],[Puntos scratch3]]="","NO PUNTÚA",SUM(Tabla1532[[#This Row],[Puntos scratch3]],Tabla1532[[#This Row],[Puntos clase5]]))</f>
        <v>8</v>
      </c>
      <c r="W17" s="241">
        <v>2</v>
      </c>
      <c r="X17" s="489" t="s">
        <v>609</v>
      </c>
    </row>
    <row r="18" spans="1:24" x14ac:dyDescent="0.35">
      <c r="A18" s="176">
        <v>13</v>
      </c>
      <c r="B18" s="176">
        <v>29</v>
      </c>
      <c r="C18" s="247" t="s">
        <v>330</v>
      </c>
      <c r="D18" s="179" t="s">
        <v>332</v>
      </c>
      <c r="E18" s="179" t="s">
        <v>168</v>
      </c>
      <c r="F18" s="179" t="s">
        <v>456</v>
      </c>
      <c r="G18" s="179" t="s">
        <v>600</v>
      </c>
      <c r="H18" s="179" t="s">
        <v>176</v>
      </c>
      <c r="I18" s="180" t="s">
        <v>24</v>
      </c>
      <c r="J18" s="180">
        <v>4</v>
      </c>
      <c r="K18" s="181"/>
      <c r="L18" s="183">
        <f>IF(AND(E18="M",Tabla1532[[#This Row],[POS]]&lt;&gt;"AB",Tabla1532[[#This Row],[POS]]&lt;&gt;"DSQ"),COUNTIF($E$6:E18,"M"),"")</f>
        <v>13</v>
      </c>
      <c r="M18" s="183">
        <f>IF(E18="M",IF(Tabla1532[[#This Row],[Tiempo]]="AB","",LOOKUP(Tabla1532[[#This Row],[CLAS SCRATCH]],'Datos puntos'!$A$2:$A$23,'Datos puntos'!$B$2:$B$23)),"")</f>
        <v>1</v>
      </c>
      <c r="N18" s="183">
        <f>IF(AND(E18="M",Tabla1532[[#This Row],[POS]]&lt;&gt;"AB",Tabla1532[[#This Row],[POS]]&lt;&gt;"DSQ"),COUNTIFS($J$6:J18,Tabla1532[[#This Row],[Clase]],$E$6:E18,"M"),"")</f>
        <v>2</v>
      </c>
      <c r="O18" s="183">
        <f>IF(E18="M",IF(Tabla1532[[#This Row],[Tiempo]]="AB","",LOOKUP(Tabla1532[[#This Row],[CLAS CLASE]],'Datos puntos'!$A$25:$A$53,'Datos puntos'!$B$25:$B$53)),"")</f>
        <v>8</v>
      </c>
      <c r="P18" s="183">
        <f>IF(Tabla1532[[#This Row],[Puntos scratch]]="","NO PUNTÚA",SUM(Tabla1532[[#This Row],[Puntos scratch]],Tabla1532[[#This Row],[Puntos clase]]))</f>
        <v>9</v>
      </c>
      <c r="Q18" s="183" t="str">
        <f>IF(AND(G18="M",Tabla1532[[#This Row],[POS]]&lt;&gt;"AB",Tabla1532[[#This Row],[POS]]&lt;&gt;"DSQ"),COUNTIF($G$6:G18,"M"),"")</f>
        <v/>
      </c>
      <c r="R18" s="183" t="str">
        <f>IF(G18="M",IF(Tabla1532[[#This Row],[Tiempo]]="AB","",LOOKUP(Tabla1532[[#This Row],[CLAS SCRATCH2]],'Datos puntos'!$A$2:$A$23,'Datos puntos'!$B$2:$B$23)),"")</f>
        <v/>
      </c>
      <c r="S18" s="183" t="str">
        <f>IF(AND(G18="M",Tabla1532[[#This Row],[POS]]&lt;&gt;"AB",Tabla1532[[#This Row],[POS]]&lt;&gt;"DSQ"),COUNTIFS($J$6:J18,Tabla1532[[#This Row],[Clase]],$G$6:G18,"M"),"")</f>
        <v/>
      </c>
      <c r="T18" s="183" t="str">
        <f>IF(G18="M",IF(Tabla1532[[#This Row],[Tiempo]]="AB","",LOOKUP(Tabla1532[[#This Row],[CLAS CLASE2]],'Datos puntos'!$A$25:$A$53,'Datos puntos'!$B$25:$B$53)),"")</f>
        <v/>
      </c>
      <c r="U18" s="183" t="str">
        <f>IF(Tabla1532[[#This Row],[Puntos scratch3]]="","NO PUNTÚA",SUM(Tabla1532[[#This Row],[Puntos scratch3]],Tabla1532[[#This Row],[Puntos clase5]]))</f>
        <v>NO PUNTÚA</v>
      </c>
      <c r="W18" s="241">
        <v>1</v>
      </c>
      <c r="X18" s="254" t="s">
        <v>588</v>
      </c>
    </row>
    <row r="19" spans="1:24" x14ac:dyDescent="0.35">
      <c r="A19" s="186">
        <v>14</v>
      </c>
      <c r="B19" s="176">
        <v>31</v>
      </c>
      <c r="C19" s="248" t="s">
        <v>588</v>
      </c>
      <c r="D19" s="179" t="s">
        <v>624</v>
      </c>
      <c r="E19" s="179" t="s">
        <v>168</v>
      </c>
      <c r="F19" s="179" t="s">
        <v>625</v>
      </c>
      <c r="G19" s="179" t="s">
        <v>168</v>
      </c>
      <c r="H19" s="179" t="s">
        <v>176</v>
      </c>
      <c r="I19" s="180" t="s">
        <v>24</v>
      </c>
      <c r="J19" s="180">
        <v>4</v>
      </c>
      <c r="K19" s="181"/>
      <c r="L19" s="183">
        <f>IF(AND(E19="M",Tabla1532[[#This Row],[POS]]&lt;&gt;"AB",Tabla1532[[#This Row],[POS]]&lt;&gt;"DSQ"),COUNTIF($E$6:E19,"M"),"")</f>
        <v>14</v>
      </c>
      <c r="M19" s="183">
        <f>IF(E19="M",IF(Tabla1532[[#This Row],[Tiempo]]="AB","",LOOKUP(Tabla1532[[#This Row],[CLAS SCRATCH]],'Datos puntos'!$A$2:$A$23,'Datos puntos'!$B$2:$B$23)),"")</f>
        <v>0</v>
      </c>
      <c r="N19" s="183">
        <f>IF(AND(E19="M",Tabla1532[[#This Row],[POS]]&lt;&gt;"AB",Tabla1532[[#This Row],[POS]]&lt;&gt;"DSQ"),COUNTIFS($J$6:J19,Tabla1532[[#This Row],[Clase]],$E$6:E19,"M"),"")</f>
        <v>3</v>
      </c>
      <c r="O19" s="183">
        <f>IF(E19="M",IF(Tabla1532[[#This Row],[Tiempo]]="AB","",LOOKUP(Tabla1532[[#This Row],[CLAS CLASE]],'Datos puntos'!$A$25:$A$53,'Datos puntos'!$B$25:$B$53)),"")</f>
        <v>6</v>
      </c>
      <c r="P19" s="183">
        <f>IF(Tabla1532[[#This Row],[Puntos scratch]]="","NO PUNTÚA",SUM(Tabla1532[[#This Row],[Puntos scratch]],Tabla1532[[#This Row],[Puntos clase]]))</f>
        <v>6</v>
      </c>
      <c r="Q19" s="183">
        <f>IF(AND(G19="M",Tabla1532[[#This Row],[POS]]&lt;&gt;"AB",Tabla1532[[#This Row],[POS]]&lt;&gt;"DSQ"),COUNTIF($G$6:G19,"M"),"")</f>
        <v>12</v>
      </c>
      <c r="R19" s="183">
        <f>IF(G19="M",IF(Tabla1532[[#This Row],[Tiempo]]="AB","",LOOKUP(Tabla1532[[#This Row],[CLAS SCRATCH2]],'Datos puntos'!$A$2:$A$23,'Datos puntos'!$B$2:$B$23)),"")</f>
        <v>2</v>
      </c>
      <c r="S19" s="183">
        <f>IF(AND(G19="M",Tabla1532[[#This Row],[POS]]&lt;&gt;"AB",Tabla1532[[#This Row],[POS]]&lt;&gt;"DSQ"),COUNTIFS($J$6:J19,Tabla1532[[#This Row],[Clase]],$G$6:G19,"M"),"")</f>
        <v>2</v>
      </c>
      <c r="T19" s="183">
        <f>IF(G19="M",IF(Tabla1532[[#This Row],[Tiempo]]="AB","",LOOKUP(Tabla1532[[#This Row],[CLAS CLASE2]],'Datos puntos'!$A$25:$A$53,'Datos puntos'!$B$25:$B$53)),"")</f>
        <v>8</v>
      </c>
      <c r="U19" s="183">
        <f>IF(Tabla1532[[#This Row],[Puntos scratch3]]="","NO PUNTÚA",SUM(Tabla1532[[#This Row],[Puntos scratch3]],Tabla1532[[#This Row],[Puntos clase5]]))</f>
        <v>10</v>
      </c>
      <c r="X19" s="268"/>
    </row>
    <row r="20" spans="1:24" x14ac:dyDescent="0.35">
      <c r="A20" s="176">
        <v>15</v>
      </c>
      <c r="B20" s="176">
        <v>30</v>
      </c>
      <c r="C20" s="179" t="s">
        <v>621</v>
      </c>
      <c r="D20" s="179" t="s">
        <v>621</v>
      </c>
      <c r="E20" s="179" t="s">
        <v>168</v>
      </c>
      <c r="F20" s="179" t="s">
        <v>622</v>
      </c>
      <c r="G20" s="179" t="s">
        <v>623</v>
      </c>
      <c r="H20" s="179" t="s">
        <v>176</v>
      </c>
      <c r="I20" s="180" t="s">
        <v>24</v>
      </c>
      <c r="J20" s="180">
        <v>4</v>
      </c>
      <c r="K20" s="181"/>
      <c r="L20" s="183">
        <f>IF(AND(E20="M",Tabla1532[[#This Row],[POS]]&lt;&gt;"AB",Tabla1532[[#This Row],[POS]]&lt;&gt;"DSQ"),COUNTIF($E$6:E20,"M"),"")</f>
        <v>15</v>
      </c>
      <c r="M20" s="183">
        <f>IF(E20="M",IF(Tabla1532[[#This Row],[Tiempo]]="AB","",LOOKUP(Tabla1532[[#This Row],[CLAS SCRATCH]],'Datos puntos'!$A$2:$A$23,'Datos puntos'!$B$2:$B$23)),"")</f>
        <v>0</v>
      </c>
      <c r="N20" s="183">
        <f>IF(AND(E20="M",Tabla1532[[#This Row],[POS]]&lt;&gt;"AB",Tabla1532[[#This Row],[POS]]&lt;&gt;"DSQ"),COUNTIFS($J$6:J20,Tabla1532[[#This Row],[Clase]],$E$6:E20,"M"),"")</f>
        <v>4</v>
      </c>
      <c r="O20" s="183">
        <f>IF(E20="M",IF(Tabla1532[[#This Row],[Tiempo]]="AB","",LOOKUP(Tabla1532[[#This Row],[CLAS CLASE]],'Datos puntos'!$A$25:$A$53,'Datos puntos'!$B$25:$B$53)),"")</f>
        <v>5</v>
      </c>
      <c r="P20" s="183">
        <f>IF(Tabla1532[[#This Row],[Puntos scratch]]="","NO PUNTÚA",SUM(Tabla1532[[#This Row],[Puntos scratch]],Tabla1532[[#This Row],[Puntos clase]]))</f>
        <v>5</v>
      </c>
      <c r="Q20" s="183" t="str">
        <f>IF(AND(G20="M",Tabla1532[[#This Row],[POS]]&lt;&gt;"AB",Tabla1532[[#This Row],[POS]]&lt;&gt;"DSQ"),COUNTIF($G$6:G20,"M"),"")</f>
        <v/>
      </c>
      <c r="R20" s="183" t="str">
        <f>IF(G20="M",IF(Tabla1532[[#This Row],[Tiempo]]="AB","",LOOKUP(Tabla1532[[#This Row],[CLAS SCRATCH2]],'Datos puntos'!$A$2:$A$23,'Datos puntos'!$B$2:$B$23)),"")</f>
        <v/>
      </c>
      <c r="S20" s="183" t="str">
        <f>IF(AND(G20="M",Tabla1532[[#This Row],[POS]]&lt;&gt;"AB",Tabla1532[[#This Row],[POS]]&lt;&gt;"DSQ"),COUNTIFS($J$6:J20,Tabla1532[[#This Row],[Clase]],$G$6:G20,"M"),"")</f>
        <v/>
      </c>
      <c r="T20" s="183" t="str">
        <f>IF(G20="M",IF(Tabla1532[[#This Row],[Tiempo]]="AB","",LOOKUP(Tabla1532[[#This Row],[CLAS CLASE2]],'Datos puntos'!$A$25:$A$53,'Datos puntos'!$B$25:$B$53)),"")</f>
        <v/>
      </c>
      <c r="U20" s="183" t="str">
        <f>IF(Tabla1532[[#This Row],[Puntos scratch3]]="","NO PUNTÚA",SUM(Tabla1532[[#This Row],[Puntos scratch3]],Tabla1532[[#This Row],[Puntos clase5]]))</f>
        <v>NO PUNTÚA</v>
      </c>
      <c r="X20" s="268"/>
    </row>
    <row r="21" spans="1:24" x14ac:dyDescent="0.35">
      <c r="A21" s="176">
        <v>16</v>
      </c>
      <c r="B21" s="176">
        <v>14</v>
      </c>
      <c r="C21" s="464" t="s">
        <v>609</v>
      </c>
      <c r="D21" s="179" t="s">
        <v>610</v>
      </c>
      <c r="E21" s="179" t="s">
        <v>168</v>
      </c>
      <c r="F21" s="179" t="s">
        <v>611</v>
      </c>
      <c r="G21" s="179" t="s">
        <v>168</v>
      </c>
      <c r="H21" s="179" t="s">
        <v>612</v>
      </c>
      <c r="I21" s="180" t="s">
        <v>24</v>
      </c>
      <c r="J21" s="180">
        <v>3</v>
      </c>
      <c r="K21" s="181"/>
      <c r="L21" s="183">
        <f>IF(AND(E21="M",Tabla1532[[#This Row],[POS]]&lt;&gt;"AB",Tabla1532[[#This Row],[POS]]&lt;&gt;"DSQ"),COUNTIF($E$6:E21,"M"),"")</f>
        <v>16</v>
      </c>
      <c r="M21" s="183">
        <f>IF(E21="M",IF(Tabla1532[[#This Row],[Tiempo]]="AB","",LOOKUP(Tabla1532[[#This Row],[CLAS SCRATCH]],'Datos puntos'!$A$2:$A$23,'Datos puntos'!$B$2:$B$23)),"")</f>
        <v>0</v>
      </c>
      <c r="N21" s="183">
        <f>IF(AND(E21="M",Tabla1532[[#This Row],[POS]]&lt;&gt;"AB",Tabla1532[[#This Row],[POS]]&lt;&gt;"DSQ"),COUNTIFS($J$6:J21,Tabla1532[[#This Row],[Clase]],$E$6:E21,"M"),"")</f>
        <v>6</v>
      </c>
      <c r="O21" s="183">
        <f>IF(E21="M",IF(Tabla1532[[#This Row],[Tiempo]]="AB","",LOOKUP(Tabla1532[[#This Row],[CLAS CLASE]],'Datos puntos'!$A$25:$A$53,'Datos puntos'!$B$25:$B$53)),"")</f>
        <v>1</v>
      </c>
      <c r="P21" s="183">
        <f>IF(Tabla1532[[#This Row],[Puntos scratch]]="","NO PUNTÚA",SUM(Tabla1532[[#This Row],[Puntos scratch]],Tabla1532[[#This Row],[Puntos clase]]))</f>
        <v>1</v>
      </c>
      <c r="Q21" s="183">
        <f>IF(AND(G21="M",Tabla1532[[#This Row],[POS]]&lt;&gt;"AB",Tabla1532[[#This Row],[POS]]&lt;&gt;"DSQ"),COUNTIF($G$6:G21,"M"),"")</f>
        <v>13</v>
      </c>
      <c r="R21" s="183">
        <f>IF(G21="M",IF(Tabla1532[[#This Row],[Tiempo]]="AB","",LOOKUP(Tabla1532[[#This Row],[CLAS SCRATCH2]],'Datos puntos'!$A$2:$A$23,'Datos puntos'!$B$2:$B$23)),"")</f>
        <v>1</v>
      </c>
      <c r="S21" s="183">
        <f>IF(AND(G21="M",Tabla1532[[#This Row],[POS]]&lt;&gt;"AB",Tabla1532[[#This Row],[POS]]&lt;&gt;"DSQ"),COUNTIFS($J$6:J21,Tabla1532[[#This Row],[Clase]],$G$6:G21,"M"),"")</f>
        <v>5</v>
      </c>
      <c r="T21" s="183">
        <f>IF(G21="M",IF(Tabla1532[[#This Row],[Tiempo]]="AB","",LOOKUP(Tabla1532[[#This Row],[CLAS CLASE2]],'Datos puntos'!$A$25:$A$53,'Datos puntos'!$B$25:$B$53)),"")</f>
        <v>3</v>
      </c>
      <c r="U21" s="183">
        <f>IF(Tabla1532[[#This Row],[Puntos scratch3]]="","NO PUNTÚA",SUM(Tabla1532[[#This Row],[Puntos scratch3]],Tabla1532[[#This Row],[Puntos clase5]]))</f>
        <v>4</v>
      </c>
      <c r="X21" s="268"/>
    </row>
    <row r="22" spans="1:24" x14ac:dyDescent="0.35">
      <c r="A22" s="176">
        <v>17</v>
      </c>
      <c r="B22" s="176">
        <v>12</v>
      </c>
      <c r="C22" s="268" t="s">
        <v>591</v>
      </c>
      <c r="D22" s="179" t="s">
        <v>604</v>
      </c>
      <c r="E22" s="179" t="s">
        <v>168</v>
      </c>
      <c r="F22" s="179" t="s">
        <v>605</v>
      </c>
      <c r="G22" s="179" t="s">
        <v>168</v>
      </c>
      <c r="H22" s="179" t="s">
        <v>201</v>
      </c>
      <c r="I22" s="180" t="s">
        <v>24</v>
      </c>
      <c r="J22" s="180">
        <v>3</v>
      </c>
      <c r="K22" s="181"/>
      <c r="L22" s="183">
        <f>IF(AND(E22="M",Tabla1532[[#This Row],[POS]]&lt;&gt;"AB",Tabla1532[[#This Row],[POS]]&lt;&gt;"DSQ"),COUNTIF($E$6:E22,"M"),"")</f>
        <v>17</v>
      </c>
      <c r="M22" s="183">
        <f>IF(E22="M",IF(Tabla1532[[#This Row],[Tiempo]]="AB","",LOOKUP(Tabla1532[[#This Row],[CLAS SCRATCH]],'Datos puntos'!$A$2:$A$23,'Datos puntos'!$B$2:$B$23)),"")</f>
        <v>0</v>
      </c>
      <c r="N22" s="183">
        <f>IF(AND(E22="M",Tabla1532[[#This Row],[POS]]&lt;&gt;"AB",Tabla1532[[#This Row],[POS]]&lt;&gt;"DSQ"),COUNTIFS($J$6:J22,Tabla1532[[#This Row],[Clase]],$E$6:E22,"M"),"")</f>
        <v>7</v>
      </c>
      <c r="O22" s="183">
        <f>IF(E22="M",IF(Tabla1532[[#This Row],[Tiempo]]="AB","",LOOKUP(Tabla1532[[#This Row],[CLAS CLASE]],'Datos puntos'!$A$25:$A$53,'Datos puntos'!$B$25:$B$53)),"")</f>
        <v>0</v>
      </c>
      <c r="P22" s="183">
        <f>IF(Tabla1532[[#This Row],[Puntos scratch]]="","NO PUNTÚA",SUM(Tabla1532[[#This Row],[Puntos scratch]],Tabla1532[[#This Row],[Puntos clase]]))</f>
        <v>0</v>
      </c>
      <c r="Q22" s="183">
        <f>IF(AND(G22="M",Tabla1532[[#This Row],[POS]]&lt;&gt;"AB",Tabla1532[[#This Row],[POS]]&lt;&gt;"DSQ"),COUNTIF($G$6:G22,"M"),"")</f>
        <v>14</v>
      </c>
      <c r="R22" s="183">
        <f>IF(G22="M",IF(Tabla1532[[#This Row],[Tiempo]]="AB","",LOOKUP(Tabla1532[[#This Row],[CLAS SCRATCH2]],'Datos puntos'!$A$2:$A$23,'Datos puntos'!$B$2:$B$23)),"")</f>
        <v>0</v>
      </c>
      <c r="S22" s="183">
        <f>IF(AND(G22="M",Tabla1532[[#This Row],[POS]]&lt;&gt;"AB",Tabla1532[[#This Row],[POS]]&lt;&gt;"DSQ"),COUNTIFS($J$6:J22,Tabla1532[[#This Row],[Clase]],$G$6:G22,"M"),"")</f>
        <v>6</v>
      </c>
      <c r="T22" s="183">
        <f>IF(G22="M",IF(Tabla1532[[#This Row],[Tiempo]]="AB","",LOOKUP(Tabla1532[[#This Row],[CLAS CLASE2]],'Datos puntos'!$A$25:$A$53,'Datos puntos'!$B$25:$B$53)),"")</f>
        <v>1</v>
      </c>
      <c r="U22" s="183">
        <f>IF(Tabla1532[[#This Row],[Puntos scratch3]]="","NO PUNTÚA",SUM(Tabla1532[[#This Row],[Puntos scratch3]],Tabla1532[[#This Row],[Puntos clase5]]))</f>
        <v>1</v>
      </c>
      <c r="X22" s="268"/>
    </row>
    <row r="23" spans="1:24" x14ac:dyDescent="0.35">
      <c r="A23" s="186">
        <v>18</v>
      </c>
      <c r="B23" s="176">
        <v>27</v>
      </c>
      <c r="C23" s="248" t="s">
        <v>588</v>
      </c>
      <c r="D23" s="179" t="s">
        <v>674</v>
      </c>
      <c r="E23" s="179" t="s">
        <v>168</v>
      </c>
      <c r="F23" s="179" t="s">
        <v>638</v>
      </c>
      <c r="G23" s="179" t="s">
        <v>168</v>
      </c>
      <c r="H23" s="179" t="s">
        <v>675</v>
      </c>
      <c r="I23" s="180" t="s">
        <v>24</v>
      </c>
      <c r="J23" s="180">
        <v>2</v>
      </c>
      <c r="K23" s="181"/>
      <c r="L23" s="183">
        <f>IF(AND(E23="M",Tabla1532[[#This Row],[POS]]&lt;&gt;"AB",Tabla1532[[#This Row],[POS]]&lt;&gt;"DSQ"),COUNTIF($E$6:E23,"M"),"")</f>
        <v>18</v>
      </c>
      <c r="M23" s="183">
        <f>IF(E23="M",IF(Tabla1532[[#This Row],[Tiempo]]="AB","",LOOKUP(Tabla1532[[#This Row],[CLAS SCRATCH]],'Datos puntos'!$A$2:$A$23,'Datos puntos'!$B$2:$B$23)),"")</f>
        <v>0</v>
      </c>
      <c r="N23" s="183">
        <f>IF(AND(E23="M",Tabla1532[[#This Row],[POS]]&lt;&gt;"AB",Tabla1532[[#This Row],[POS]]&lt;&gt;"DSQ"),COUNTIFS($J$6:J23,Tabla1532[[#This Row],[Clase]],$E$6:E23,"M"),"")</f>
        <v>4</v>
      </c>
      <c r="O23" s="183">
        <f>IF(E23="M",IF(Tabla1532[[#This Row],[Tiempo]]="AB","",LOOKUP(Tabla1532[[#This Row],[CLAS CLASE]],'Datos puntos'!$A$25:$A$53,'Datos puntos'!$B$25:$B$53)),"")</f>
        <v>5</v>
      </c>
      <c r="P23" s="183">
        <f>IF(Tabla1532[[#This Row],[Puntos scratch]]="","NO PUNTÚA",SUM(Tabla1532[[#This Row],[Puntos scratch]],Tabla1532[[#This Row],[Puntos clase]]))</f>
        <v>5</v>
      </c>
      <c r="Q23" s="183">
        <f>IF(AND(G23="M",Tabla1532[[#This Row],[POS]]&lt;&gt;"AB",Tabla1532[[#This Row],[POS]]&lt;&gt;"DSQ"),COUNTIF($G$6:G23,"M"),"")</f>
        <v>15</v>
      </c>
      <c r="R23" s="183">
        <f>IF(G23="M",IF(Tabla1532[[#This Row],[Tiempo]]="AB","",LOOKUP(Tabla1532[[#This Row],[CLAS SCRATCH2]],'Datos puntos'!$A$2:$A$23,'Datos puntos'!$B$2:$B$23)),"")</f>
        <v>0</v>
      </c>
      <c r="S23" s="183">
        <f>IF(AND(G23="M",Tabla1532[[#This Row],[POS]]&lt;&gt;"AB",Tabla1532[[#This Row],[POS]]&lt;&gt;"DSQ"),COUNTIFS($J$6:J23,Tabla1532[[#This Row],[Clase]],$G$6:G23,"M"),"")</f>
        <v>4</v>
      </c>
      <c r="T23" s="183">
        <f>IF(G23="M",IF(Tabla1532[[#This Row],[Tiempo]]="AB","",LOOKUP(Tabla1532[[#This Row],[CLAS CLASE2]],'Datos puntos'!$A$25:$A$53,'Datos puntos'!$B$25:$B$53)),"")</f>
        <v>5</v>
      </c>
      <c r="U23" s="183">
        <f>IF(Tabla1532[[#This Row],[Puntos scratch3]]="","NO PUNTÚA",SUM(Tabla1532[[#This Row],[Puntos scratch3]],Tabla1532[[#This Row],[Puntos clase5]]))</f>
        <v>5</v>
      </c>
      <c r="X23" s="268"/>
    </row>
    <row r="24" spans="1:24" x14ac:dyDescent="0.35">
      <c r="A24" s="176">
        <v>19</v>
      </c>
      <c r="B24" s="176">
        <v>25</v>
      </c>
      <c r="C24" s="248" t="s">
        <v>588</v>
      </c>
      <c r="D24" s="179" t="s">
        <v>607</v>
      </c>
      <c r="E24" s="179" t="s">
        <v>168</v>
      </c>
      <c r="F24" s="179" t="s">
        <v>608</v>
      </c>
      <c r="G24" s="179" t="s">
        <v>168</v>
      </c>
      <c r="H24" s="179" t="s">
        <v>314</v>
      </c>
      <c r="I24" s="180" t="s">
        <v>24</v>
      </c>
      <c r="J24" s="180">
        <v>3</v>
      </c>
      <c r="K24" s="181"/>
      <c r="L24" s="183">
        <f>IF(AND(E24="M",Tabla1532[[#This Row],[POS]]&lt;&gt;"AB",Tabla1532[[#This Row],[POS]]&lt;&gt;"DSQ"),COUNTIF($E$6:E24,"M"),"")</f>
        <v>19</v>
      </c>
      <c r="M24" s="183">
        <f>IF(E24="M",IF(Tabla1532[[#This Row],[Tiempo]]="AB","",LOOKUP(Tabla1532[[#This Row],[CLAS SCRATCH]],'Datos puntos'!$A$2:$A$23,'Datos puntos'!$B$2:$B$23)),"")</f>
        <v>0</v>
      </c>
      <c r="N24" s="183">
        <f>IF(AND(E24="M",Tabla1532[[#This Row],[POS]]&lt;&gt;"AB",Tabla1532[[#This Row],[POS]]&lt;&gt;"DSQ"),COUNTIFS($J$6:J24,Tabla1532[[#This Row],[Clase]],$E$6:E24,"M"),"")</f>
        <v>8</v>
      </c>
      <c r="O24" s="183">
        <f>IF(E24="M",IF(Tabla1532[[#This Row],[Tiempo]]="AB","",LOOKUP(Tabla1532[[#This Row],[CLAS CLASE]],'Datos puntos'!$A$25:$A$53,'Datos puntos'!$B$25:$B$53)),"")</f>
        <v>0</v>
      </c>
      <c r="P24" s="183">
        <f>IF(Tabla1532[[#This Row],[Puntos scratch]]="","NO PUNTÚA",SUM(Tabla1532[[#This Row],[Puntos scratch]],Tabla1532[[#This Row],[Puntos clase]]))</f>
        <v>0</v>
      </c>
      <c r="Q24" s="183">
        <f>IF(AND(G24="M",Tabla1532[[#This Row],[POS]]&lt;&gt;"AB",Tabla1532[[#This Row],[POS]]&lt;&gt;"DSQ"),COUNTIF($G$6:G24,"M"),"")</f>
        <v>16</v>
      </c>
      <c r="R24" s="183">
        <f>IF(G24="M",IF(Tabla1532[[#This Row],[Tiempo]]="AB","",LOOKUP(Tabla1532[[#This Row],[CLAS SCRATCH2]],'Datos puntos'!$A$2:$A$23,'Datos puntos'!$B$2:$B$23)),"")</f>
        <v>0</v>
      </c>
      <c r="S24" s="183">
        <f>IF(AND(G24="M",Tabla1532[[#This Row],[POS]]&lt;&gt;"AB",Tabla1532[[#This Row],[POS]]&lt;&gt;"DSQ"),COUNTIFS($J$6:J24,Tabla1532[[#This Row],[Clase]],$G$6:G24,"M"),"")</f>
        <v>7</v>
      </c>
      <c r="T24" s="183">
        <f>IF(G24="M",IF(Tabla1532[[#This Row],[Tiempo]]="AB","",LOOKUP(Tabla1532[[#This Row],[CLAS CLASE2]],'Datos puntos'!$A$25:$A$53,'Datos puntos'!$B$25:$B$53)),"")</f>
        <v>0</v>
      </c>
      <c r="U24" s="183">
        <f>IF(Tabla1532[[#This Row],[Puntos scratch3]]="","NO PUNTÚA",SUM(Tabla1532[[#This Row],[Puntos scratch3]],Tabla1532[[#This Row],[Puntos clase5]]))</f>
        <v>0</v>
      </c>
      <c r="X24" s="268"/>
    </row>
    <row r="25" spans="1:24" x14ac:dyDescent="0.35">
      <c r="A25" s="176">
        <v>20</v>
      </c>
      <c r="B25" s="176">
        <v>32</v>
      </c>
      <c r="C25" s="248" t="s">
        <v>588</v>
      </c>
      <c r="D25" s="179" t="s">
        <v>676</v>
      </c>
      <c r="E25" s="179" t="s">
        <v>168</v>
      </c>
      <c r="F25" s="179" t="s">
        <v>677</v>
      </c>
      <c r="G25" s="179" t="s">
        <v>168</v>
      </c>
      <c r="H25" s="179" t="s">
        <v>176</v>
      </c>
      <c r="I25" s="180" t="s">
        <v>24</v>
      </c>
      <c r="J25" s="180">
        <v>4</v>
      </c>
      <c r="K25" s="181"/>
      <c r="L25" s="183">
        <f>IF(AND(E25="M",Tabla1532[[#This Row],[POS]]&lt;&gt;"AB",Tabla1532[[#This Row],[POS]]&lt;&gt;"DSQ"),COUNTIF($E$6:E25,"M"),"")</f>
        <v>20</v>
      </c>
      <c r="M25" s="183">
        <f>IF(E25="M",IF(Tabla1532[[#This Row],[Tiempo]]="AB","",LOOKUP(Tabla1532[[#This Row],[CLAS SCRATCH]],'Datos puntos'!$A$2:$A$23,'Datos puntos'!$B$2:$B$23)),"")</f>
        <v>0</v>
      </c>
      <c r="N25" s="183">
        <f>IF(AND(E25="M",Tabla1532[[#This Row],[POS]]&lt;&gt;"AB",Tabla1532[[#This Row],[POS]]&lt;&gt;"DSQ"),COUNTIFS($J$6:J25,Tabla1532[[#This Row],[Clase]],$E$6:E25,"M"),"")</f>
        <v>5</v>
      </c>
      <c r="O25" s="183">
        <f>IF(E25="M",IF(Tabla1532[[#This Row],[Tiempo]]="AB","",LOOKUP(Tabla1532[[#This Row],[CLAS CLASE]],'Datos puntos'!$A$25:$A$53,'Datos puntos'!$B$25:$B$53)),"")</f>
        <v>3</v>
      </c>
      <c r="P25" s="183">
        <f>IF(Tabla1532[[#This Row],[Puntos scratch]]="","NO PUNTÚA",SUM(Tabla1532[[#This Row],[Puntos scratch]],Tabla1532[[#This Row],[Puntos clase]]))</f>
        <v>3</v>
      </c>
      <c r="Q25" s="183">
        <f>IF(AND(G25="M",Tabla1532[[#This Row],[POS]]&lt;&gt;"AB",Tabla1532[[#This Row],[POS]]&lt;&gt;"DSQ"),COUNTIF($G$6:G25,"M"),"")</f>
        <v>17</v>
      </c>
      <c r="R25" s="183">
        <f>IF(G25="M",IF(Tabla1532[[#This Row],[Tiempo]]="AB","",LOOKUP(Tabla1532[[#This Row],[CLAS SCRATCH2]],'Datos puntos'!$A$2:$A$23,'Datos puntos'!$B$2:$B$23)),"")</f>
        <v>0</v>
      </c>
      <c r="S25" s="183">
        <f>IF(AND(G25="M",Tabla1532[[#This Row],[POS]]&lt;&gt;"AB",Tabla1532[[#This Row],[POS]]&lt;&gt;"DSQ"),COUNTIFS($J$6:J25,Tabla1532[[#This Row],[Clase]],$G$6:G25,"M"),"")</f>
        <v>3</v>
      </c>
      <c r="T25" s="183">
        <f>IF(G25="M",IF(Tabla1532[[#This Row],[Tiempo]]="AB","",LOOKUP(Tabla1532[[#This Row],[CLAS CLASE2]],'Datos puntos'!$A$25:$A$53,'Datos puntos'!$B$25:$B$53)),"")</f>
        <v>6</v>
      </c>
      <c r="U25" s="183">
        <f>IF(Tabla1532[[#This Row],[Puntos scratch3]]="","NO PUNTÚA",SUM(Tabla1532[[#This Row],[Puntos scratch3]],Tabla1532[[#This Row],[Puntos clase5]]))</f>
        <v>6</v>
      </c>
      <c r="X25" s="268"/>
    </row>
    <row r="26" spans="1:24" x14ac:dyDescent="0.35">
      <c r="A26" s="176">
        <v>21</v>
      </c>
      <c r="B26" s="176">
        <v>20</v>
      </c>
      <c r="C26" s="248" t="s">
        <v>588</v>
      </c>
      <c r="D26" s="179" t="s">
        <v>408</v>
      </c>
      <c r="E26" s="179" t="s">
        <v>168</v>
      </c>
      <c r="F26" s="179" t="s">
        <v>631</v>
      </c>
      <c r="G26" s="179" t="s">
        <v>168</v>
      </c>
      <c r="H26" s="179" t="s">
        <v>419</v>
      </c>
      <c r="I26" s="180" t="s">
        <v>24</v>
      </c>
      <c r="J26" s="180">
        <v>5</v>
      </c>
      <c r="K26" s="181"/>
      <c r="L26" s="183">
        <f>IF(AND(E26="M",Tabla1532[[#This Row],[POS]]&lt;&gt;"AB",Tabla1532[[#This Row],[POS]]&lt;&gt;"DSQ"),COUNTIF($E$6:E26,"M"),"")</f>
        <v>21</v>
      </c>
      <c r="M26" s="183">
        <f>IF(E26="M",IF(Tabla1532[[#This Row],[Tiempo]]="AB","",LOOKUP(Tabla1532[[#This Row],[CLAS SCRATCH]],'Datos puntos'!$A$2:$A$23,'Datos puntos'!$B$2:$B$23)),"")</f>
        <v>0</v>
      </c>
      <c r="N26" s="183">
        <f>IF(AND(E26="M",Tabla1532[[#This Row],[POS]]&lt;&gt;"AB",Tabla1532[[#This Row],[POS]]&lt;&gt;"DSQ"),COUNTIFS($J$6:J26,Tabla1532[[#This Row],[Clase]],$E$6:E26,"M"),"")</f>
        <v>3</v>
      </c>
      <c r="O26" s="183">
        <f>IF(E26="M",IF(Tabla1532[[#This Row],[Tiempo]]="AB","",LOOKUP(Tabla1532[[#This Row],[CLAS CLASE]],'Datos puntos'!$A$25:$A$53,'Datos puntos'!$B$25:$B$53)),"")</f>
        <v>6</v>
      </c>
      <c r="P26" s="183">
        <f>IF(Tabla1532[[#This Row],[Puntos scratch]]="","NO PUNTÚA",SUM(Tabla1532[[#This Row],[Puntos scratch]],Tabla1532[[#This Row],[Puntos clase]]))</f>
        <v>6</v>
      </c>
      <c r="Q26" s="183">
        <f>IF(AND(G26="M",Tabla1532[[#This Row],[POS]]&lt;&gt;"AB",Tabla1532[[#This Row],[POS]]&lt;&gt;"DSQ"),COUNTIF($G$6:G26,"M"),"")</f>
        <v>18</v>
      </c>
      <c r="R26" s="183">
        <f>IF(G26="M",IF(Tabla1532[[#This Row],[Tiempo]]="AB","",LOOKUP(Tabla1532[[#This Row],[CLAS SCRATCH2]],'Datos puntos'!$A$2:$A$23,'Datos puntos'!$B$2:$B$23)),"")</f>
        <v>0</v>
      </c>
      <c r="S26" s="183">
        <f>IF(AND(G26="M",Tabla1532[[#This Row],[POS]]&lt;&gt;"AB",Tabla1532[[#This Row],[POS]]&lt;&gt;"DSQ"),COUNTIFS($J$6:J26,Tabla1532[[#This Row],[Clase]],$G$6:G26,"M"),"")</f>
        <v>3</v>
      </c>
      <c r="T26" s="183">
        <f>IF(G26="M",IF(Tabla1532[[#This Row],[Tiempo]]="AB","",LOOKUP(Tabla1532[[#This Row],[CLAS CLASE2]],'Datos puntos'!$A$25:$A$53,'Datos puntos'!$B$25:$B$53)),"")</f>
        <v>6</v>
      </c>
      <c r="U26" s="183">
        <f>IF(Tabla1532[[#This Row],[Puntos scratch3]]="","NO PUNTÚA",SUM(Tabla1532[[#This Row],[Puntos scratch3]],Tabla1532[[#This Row],[Puntos clase5]]))</f>
        <v>6</v>
      </c>
      <c r="X26" s="268"/>
    </row>
    <row r="27" spans="1:24" x14ac:dyDescent="0.35">
      <c r="A27" s="176" t="s">
        <v>179</v>
      </c>
      <c r="B27" s="176">
        <v>3</v>
      </c>
      <c r="C27" s="248" t="s">
        <v>588</v>
      </c>
      <c r="D27" s="179" t="s">
        <v>238</v>
      </c>
      <c r="E27" s="179" t="s">
        <v>168</v>
      </c>
      <c r="F27" s="179" t="s">
        <v>458</v>
      </c>
      <c r="G27" s="179" t="s">
        <v>168</v>
      </c>
      <c r="H27" s="179" t="s">
        <v>382</v>
      </c>
      <c r="I27" s="180" t="s">
        <v>200</v>
      </c>
      <c r="J27" s="180">
        <v>1</v>
      </c>
      <c r="K27" s="181" t="s">
        <v>179</v>
      </c>
      <c r="L27" s="183" t="str">
        <f>IF(AND(E27="M",Tabla1532[[#This Row],[POS]]&lt;&gt;"AB",Tabla1532[[#This Row],[POS]]&lt;&gt;"DSQ"),COUNTIF($E$6:E27,"M"),"")</f>
        <v/>
      </c>
      <c r="M27" s="183" t="str">
        <f>IF(E27="M",IF(Tabla1532[[#This Row],[Tiempo]]="AB","",LOOKUP(Tabla1532[[#This Row],[CLAS SCRATCH]],'Datos puntos'!$A$2:$A$23,'Datos puntos'!$B$2:$B$23)),"")</f>
        <v/>
      </c>
      <c r="N27" s="183" t="str">
        <f>IF(AND(E27="M",Tabla1532[[#This Row],[POS]]&lt;&gt;"AB",Tabla1532[[#This Row],[POS]]&lt;&gt;"DSQ"),COUNTIFS($J$6:J27,Tabla1532[[#This Row],[Clase]],$E$6:E27,"M"),"")</f>
        <v/>
      </c>
      <c r="O27" s="183" t="str">
        <f>IF(E27="M",IF(Tabla1532[[#This Row],[Tiempo]]="AB","",LOOKUP(Tabla1532[[#This Row],[CLAS CLASE]],'Datos puntos'!$A$25:$A$53,'Datos puntos'!$B$25:$B$53)),"")</f>
        <v/>
      </c>
      <c r="P27" s="183" t="str">
        <f>IF(Tabla1532[[#This Row],[Puntos scratch]]="","NO PUNTÚA",SUM(Tabla1532[[#This Row],[Puntos scratch]],Tabla1532[[#This Row],[Puntos clase]]))</f>
        <v>NO PUNTÚA</v>
      </c>
      <c r="Q27" s="183" t="str">
        <f>IF(AND(G27="M",Tabla1532[[#This Row],[POS]]&lt;&gt;"AB",Tabla1532[[#This Row],[POS]]&lt;&gt;"DSQ"),COUNTIF($G$6:G27,"M"),"")</f>
        <v/>
      </c>
      <c r="R27" s="183" t="str">
        <f>IF(G27="M",IF(Tabla1532[[#This Row],[Tiempo]]="AB","",LOOKUP(Tabla1532[[#This Row],[CLAS SCRATCH2]],'Datos puntos'!$A$2:$A$23,'Datos puntos'!$B$2:$B$23)),"")</f>
        <v/>
      </c>
      <c r="S27" s="183" t="str">
        <f>IF(AND(G27="M",Tabla1532[[#This Row],[POS]]&lt;&gt;"AB",Tabla1532[[#This Row],[POS]]&lt;&gt;"DSQ"),COUNTIFS($J$6:J27,Tabla1532[[#This Row],[Clase]],$G$6:G27,"M"),"")</f>
        <v/>
      </c>
      <c r="T27" s="183" t="str">
        <f>IF(G27="M",IF(Tabla1532[[#This Row],[Tiempo]]="AB","",LOOKUP(Tabla1532[[#This Row],[CLAS CLASE2]],'Datos puntos'!$A$25:$A$53,'Datos puntos'!$B$25:$B$53)),"")</f>
        <v/>
      </c>
      <c r="U27" s="183" t="str">
        <f>IF(Tabla1532[[#This Row],[Puntos scratch3]]="","NO PUNTÚA",SUM(Tabla1532[[#This Row],[Puntos scratch3]],Tabla1532[[#This Row],[Puntos clase5]]))</f>
        <v>NO PUNTÚA</v>
      </c>
      <c r="X27" s="268"/>
    </row>
    <row r="28" spans="1:24" x14ac:dyDescent="0.35">
      <c r="A28" s="176" t="s">
        <v>179</v>
      </c>
      <c r="B28" s="176">
        <v>10</v>
      </c>
      <c r="C28" s="268" t="s">
        <v>591</v>
      </c>
      <c r="D28" s="179" t="s">
        <v>592</v>
      </c>
      <c r="E28" s="179" t="s">
        <v>168</v>
      </c>
      <c r="F28" s="179" t="s">
        <v>457</v>
      </c>
      <c r="G28" s="179" t="s">
        <v>168</v>
      </c>
      <c r="H28" s="179" t="s">
        <v>379</v>
      </c>
      <c r="I28" s="180" t="s">
        <v>24</v>
      </c>
      <c r="J28" s="180">
        <v>3</v>
      </c>
      <c r="K28" s="181" t="s">
        <v>179</v>
      </c>
      <c r="L28" s="183" t="str">
        <f>IF(AND(E28="M",Tabla1532[[#This Row],[POS]]&lt;&gt;"AB",Tabla1532[[#This Row],[POS]]&lt;&gt;"DSQ"),COUNTIF($E$6:E28,"M"),"")</f>
        <v/>
      </c>
      <c r="M28" s="183" t="str">
        <f>IF(E28="M",IF(Tabla1532[[#This Row],[Tiempo]]="AB","",LOOKUP(Tabla1532[[#This Row],[CLAS SCRATCH]],'Datos puntos'!$A$2:$A$23,'Datos puntos'!$B$2:$B$23)),"")</f>
        <v/>
      </c>
      <c r="N28" s="183" t="str">
        <f>IF(AND(E28="M",Tabla1532[[#This Row],[POS]]&lt;&gt;"AB",Tabla1532[[#This Row],[POS]]&lt;&gt;"DSQ"),COUNTIFS($J$6:J28,Tabla1532[[#This Row],[Clase]],$E$6:E28,"M"),"")</f>
        <v/>
      </c>
      <c r="O28" s="183" t="str">
        <f>IF(E28="M",IF(Tabla1532[[#This Row],[Tiempo]]="AB","",LOOKUP(Tabla1532[[#This Row],[CLAS CLASE]],'Datos puntos'!$A$25:$A$53,'Datos puntos'!$B$25:$B$53)),"")</f>
        <v/>
      </c>
      <c r="P28" s="183" t="str">
        <f>IF(Tabla1532[[#This Row],[Puntos scratch]]="","NO PUNTÚA",SUM(Tabla1532[[#This Row],[Puntos scratch]],Tabla1532[[#This Row],[Puntos clase]]))</f>
        <v>NO PUNTÚA</v>
      </c>
      <c r="Q28" s="183" t="str">
        <f>IF(AND(G28="M",Tabla1532[[#This Row],[POS]]&lt;&gt;"AB",Tabla1532[[#This Row],[POS]]&lt;&gt;"DSQ"),COUNTIF($G$6:G28,"M"),"")</f>
        <v/>
      </c>
      <c r="R28" s="183" t="str">
        <f>IF(G28="M",IF(Tabla1532[[#This Row],[Tiempo]]="AB","",LOOKUP(Tabla1532[[#This Row],[CLAS SCRATCH2]],'Datos puntos'!$A$2:$A$23,'Datos puntos'!$B$2:$B$23)),"")</f>
        <v/>
      </c>
      <c r="S28" s="183" t="str">
        <f>IF(AND(G28="M",Tabla1532[[#This Row],[POS]]&lt;&gt;"AB",Tabla1532[[#This Row],[POS]]&lt;&gt;"DSQ"),COUNTIFS($J$6:J28,Tabla1532[[#This Row],[Clase]],$G$6:G28,"M"),"")</f>
        <v/>
      </c>
      <c r="T28" s="183" t="str">
        <f>IF(G28="M",IF(Tabla1532[[#This Row],[Tiempo]]="AB","",LOOKUP(Tabla1532[[#This Row],[CLAS CLASE2]],'Datos puntos'!$A$25:$A$53,'Datos puntos'!$B$25:$B$53)),"")</f>
        <v/>
      </c>
      <c r="U28" s="183" t="str">
        <f>IF(Tabla1532[[#This Row],[Puntos scratch3]]="","NO PUNTÚA",SUM(Tabla1532[[#This Row],[Puntos scratch3]],Tabla1532[[#This Row],[Puntos clase5]]))</f>
        <v>NO PUNTÚA</v>
      </c>
      <c r="X28" s="268"/>
    </row>
    <row r="29" spans="1:24" x14ac:dyDescent="0.35">
      <c r="A29" s="176" t="s">
        <v>179</v>
      </c>
      <c r="B29" s="176">
        <v>15</v>
      </c>
      <c r="C29" s="248" t="s">
        <v>588</v>
      </c>
      <c r="D29" s="179" t="s">
        <v>628</v>
      </c>
      <c r="E29" s="179" t="s">
        <v>168</v>
      </c>
      <c r="F29" s="179" t="s">
        <v>629</v>
      </c>
      <c r="G29" s="179" t="s">
        <v>168</v>
      </c>
      <c r="H29" s="179" t="s">
        <v>630</v>
      </c>
      <c r="I29" s="180" t="s">
        <v>24</v>
      </c>
      <c r="J29" s="180">
        <v>2</v>
      </c>
      <c r="K29" s="181" t="s">
        <v>179</v>
      </c>
      <c r="L29" s="183" t="str">
        <f>IF(AND(E29="M",Tabla1532[[#This Row],[POS]]&lt;&gt;"AB",Tabla1532[[#This Row],[POS]]&lt;&gt;"DSQ"),COUNTIF($E$6:E29,"M"),"")</f>
        <v/>
      </c>
      <c r="M29" s="183" t="str">
        <f>IF(E29="M",IF(Tabla1532[[#This Row],[Tiempo]]="AB","",LOOKUP(Tabla1532[[#This Row],[CLAS SCRATCH]],'Datos puntos'!$A$2:$A$23,'Datos puntos'!$B$2:$B$23)),"")</f>
        <v/>
      </c>
      <c r="N29" s="183" t="str">
        <f>IF(AND(E29="M",Tabla1532[[#This Row],[POS]]&lt;&gt;"AB",Tabla1532[[#This Row],[POS]]&lt;&gt;"DSQ"),COUNTIFS($J$6:J29,Tabla1532[[#This Row],[Clase]],$E$6:E29,"M"),"")</f>
        <v/>
      </c>
      <c r="O29" s="183" t="str">
        <f>IF(E29="M",IF(Tabla1532[[#This Row],[Tiempo]]="AB","",LOOKUP(Tabla1532[[#This Row],[CLAS CLASE]],'Datos puntos'!$A$25:$A$53,'Datos puntos'!$B$25:$B$53)),"")</f>
        <v/>
      </c>
      <c r="P29" s="183" t="str">
        <f>IF(Tabla1532[[#This Row],[Puntos scratch]]="","NO PUNTÚA",SUM(Tabla1532[[#This Row],[Puntos scratch]],Tabla1532[[#This Row],[Puntos clase]]))</f>
        <v>NO PUNTÚA</v>
      </c>
      <c r="Q29" s="183" t="str">
        <f>IF(AND(G29="M",Tabla1532[[#This Row],[POS]]&lt;&gt;"AB",Tabla1532[[#This Row],[POS]]&lt;&gt;"DSQ"),COUNTIF($G$6:G29,"M"),"")</f>
        <v/>
      </c>
      <c r="R29" s="183" t="str">
        <f>IF(G29="M",IF(Tabla1532[[#This Row],[Tiempo]]="AB","",LOOKUP(Tabla1532[[#This Row],[CLAS SCRATCH2]],'Datos puntos'!$A$2:$A$23,'Datos puntos'!$B$2:$B$23)),"")</f>
        <v/>
      </c>
      <c r="S29" s="183" t="str">
        <f>IF(AND(G29="M",Tabla1532[[#This Row],[POS]]&lt;&gt;"AB",Tabla1532[[#This Row],[POS]]&lt;&gt;"DSQ"),COUNTIFS($J$6:J29,Tabla1532[[#This Row],[Clase]],$G$6:G29,"M"),"")</f>
        <v/>
      </c>
      <c r="T29" s="183" t="str">
        <f>IF(G29="M",IF(Tabla1532[[#This Row],[Tiempo]]="AB","",LOOKUP(Tabla1532[[#This Row],[CLAS CLASE2]],'Datos puntos'!$A$25:$A$53,'Datos puntos'!$B$25:$B$53)),"")</f>
        <v/>
      </c>
      <c r="U29" s="183" t="str">
        <f>IF(Tabla1532[[#This Row],[Puntos scratch3]]="","NO PUNTÚA",SUM(Tabla1532[[#This Row],[Puntos scratch3]],Tabla1532[[#This Row],[Puntos clase5]]))</f>
        <v>NO PUNTÚA</v>
      </c>
      <c r="X29" s="268"/>
    </row>
    <row r="30" spans="1:24" x14ac:dyDescent="0.35">
      <c r="A30" s="176" t="s">
        <v>179</v>
      </c>
      <c r="B30" s="176">
        <v>16</v>
      </c>
      <c r="C30" s="179" t="s">
        <v>236</v>
      </c>
      <c r="D30" s="179" t="s">
        <v>678</v>
      </c>
      <c r="E30" s="179" t="s">
        <v>168</v>
      </c>
      <c r="F30" s="179" t="s">
        <v>679</v>
      </c>
      <c r="G30" s="179" t="s">
        <v>168</v>
      </c>
      <c r="H30" s="179" t="s">
        <v>383</v>
      </c>
      <c r="I30" s="180" t="s">
        <v>200</v>
      </c>
      <c r="J30" s="180">
        <v>1</v>
      </c>
      <c r="K30" s="181" t="s">
        <v>179</v>
      </c>
      <c r="L30" s="183" t="str">
        <f>IF(AND(E30="M",Tabla1532[[#This Row],[POS]]&lt;&gt;"AB",Tabla1532[[#This Row],[POS]]&lt;&gt;"DSQ"),COUNTIF($E$6:E30,"M"),"")</f>
        <v/>
      </c>
      <c r="M30" s="183" t="str">
        <f>IF(E30="M",IF(Tabla1532[[#This Row],[Tiempo]]="AB","",LOOKUP(Tabla1532[[#This Row],[CLAS SCRATCH]],'Datos puntos'!$A$2:$A$23,'Datos puntos'!$B$2:$B$23)),"")</f>
        <v/>
      </c>
      <c r="N30" s="183" t="str">
        <f>IF(AND(E30="M",Tabla1532[[#This Row],[POS]]&lt;&gt;"AB",Tabla1532[[#This Row],[POS]]&lt;&gt;"DSQ"),COUNTIFS($J$6:J30,Tabla1532[[#This Row],[Clase]],$E$6:E30,"M"),"")</f>
        <v/>
      </c>
      <c r="O30" s="183" t="str">
        <f>IF(E30="M",IF(Tabla1532[[#This Row],[Tiempo]]="AB","",LOOKUP(Tabla1532[[#This Row],[CLAS CLASE]],'Datos puntos'!$A$25:$A$53,'Datos puntos'!$B$25:$B$53)),"")</f>
        <v/>
      </c>
      <c r="P30" s="183" t="str">
        <f>IF(Tabla1532[[#This Row],[Puntos scratch]]="","NO PUNTÚA",SUM(Tabla1532[[#This Row],[Puntos scratch]],Tabla1532[[#This Row],[Puntos clase]]))</f>
        <v>NO PUNTÚA</v>
      </c>
      <c r="Q30" s="183" t="str">
        <f>IF(AND(G30="M",Tabla1532[[#This Row],[POS]]&lt;&gt;"AB",Tabla1532[[#This Row],[POS]]&lt;&gt;"DSQ"),COUNTIF($G$6:G30,"M"),"")</f>
        <v/>
      </c>
      <c r="R30" s="183" t="str">
        <f>IF(G30="M",IF(Tabla1532[[#This Row],[Tiempo]]="AB","",LOOKUP(Tabla1532[[#This Row],[CLAS SCRATCH2]],'Datos puntos'!$A$2:$A$23,'Datos puntos'!$B$2:$B$23)),"")</f>
        <v/>
      </c>
      <c r="S30" s="183" t="str">
        <f>IF(AND(G30="M",Tabla1532[[#This Row],[POS]]&lt;&gt;"AB",Tabla1532[[#This Row],[POS]]&lt;&gt;"DSQ"),COUNTIFS($J$6:J30,Tabla1532[[#This Row],[Clase]],$G$6:G30,"M"),"")</f>
        <v/>
      </c>
      <c r="T30" s="183" t="str">
        <f>IF(G30="M",IF(Tabla1532[[#This Row],[Tiempo]]="AB","",LOOKUP(Tabla1532[[#This Row],[CLAS CLASE2]],'Datos puntos'!$A$25:$A$53,'Datos puntos'!$B$25:$B$53)),"")</f>
        <v/>
      </c>
      <c r="U30" s="183" t="str">
        <f>IF(Tabla1532[[#This Row],[Puntos scratch3]]="","NO PUNTÚA",SUM(Tabla1532[[#This Row],[Puntos scratch3]],Tabla1532[[#This Row],[Puntos clase5]]))</f>
        <v>NO PUNTÚA</v>
      </c>
      <c r="X30" s="268"/>
    </row>
    <row r="31" spans="1:24" x14ac:dyDescent="0.35">
      <c r="A31" s="176" t="s">
        <v>179</v>
      </c>
      <c r="B31" s="176">
        <v>17</v>
      </c>
      <c r="C31" s="505" t="s">
        <v>304</v>
      </c>
      <c r="D31" s="179" t="s">
        <v>680</v>
      </c>
      <c r="E31" s="179" t="s">
        <v>168</v>
      </c>
      <c r="F31" s="179" t="s">
        <v>681</v>
      </c>
      <c r="G31" s="179" t="s">
        <v>168</v>
      </c>
      <c r="H31" s="179" t="s">
        <v>682</v>
      </c>
      <c r="I31" s="180" t="s">
        <v>24</v>
      </c>
      <c r="J31" s="180">
        <v>3</v>
      </c>
      <c r="K31" s="181" t="s">
        <v>179</v>
      </c>
      <c r="L31" s="183" t="str">
        <f>IF(AND(E31="M",Tabla1532[[#This Row],[POS]]&lt;&gt;"AB",Tabla1532[[#This Row],[POS]]&lt;&gt;"DSQ"),COUNTIF($E$6:E31,"M"),"")</f>
        <v/>
      </c>
      <c r="M31" s="183" t="str">
        <f>IF(E31="M",IF(Tabla1532[[#This Row],[Tiempo]]="AB","",LOOKUP(Tabla1532[[#This Row],[CLAS SCRATCH]],'Datos puntos'!$A$2:$A$23,'Datos puntos'!$B$2:$B$23)),"")</f>
        <v/>
      </c>
      <c r="N31" s="183" t="str">
        <f>IF(AND(E31="M",Tabla1532[[#This Row],[POS]]&lt;&gt;"AB",Tabla1532[[#This Row],[POS]]&lt;&gt;"DSQ"),COUNTIFS($J$6:J31,Tabla1532[[#This Row],[Clase]],$E$6:E31,"M"),"")</f>
        <v/>
      </c>
      <c r="O31" s="183" t="str">
        <f>IF(E31="M",IF(Tabla1532[[#This Row],[Tiempo]]="AB","",LOOKUP(Tabla1532[[#This Row],[CLAS CLASE]],'Datos puntos'!$A$25:$A$53,'Datos puntos'!$B$25:$B$53)),"")</f>
        <v/>
      </c>
      <c r="P31" s="183" t="str">
        <f>IF(Tabla1532[[#This Row],[Puntos scratch]]="","NO PUNTÚA",SUM(Tabla1532[[#This Row],[Puntos scratch]],Tabla1532[[#This Row],[Puntos clase]]))</f>
        <v>NO PUNTÚA</v>
      </c>
      <c r="Q31" s="183" t="str">
        <f>IF(AND(G31="M",Tabla1532[[#This Row],[POS]]&lt;&gt;"AB",Tabla1532[[#This Row],[POS]]&lt;&gt;"DSQ"),COUNTIF($G$6:G31,"M"),"")</f>
        <v/>
      </c>
      <c r="R31" s="183" t="str">
        <f>IF(G31="M",IF(Tabla1532[[#This Row],[Tiempo]]="AB","",LOOKUP(Tabla1532[[#This Row],[CLAS SCRATCH2]],'Datos puntos'!$A$2:$A$23,'Datos puntos'!$B$2:$B$23)),"")</f>
        <v/>
      </c>
      <c r="S31" s="183" t="str">
        <f>IF(AND(G31="M",Tabla1532[[#This Row],[POS]]&lt;&gt;"AB",Tabla1532[[#This Row],[POS]]&lt;&gt;"DSQ"),COUNTIFS($J$6:J31,Tabla1532[[#This Row],[Clase]],$G$6:G31,"M"),"")</f>
        <v/>
      </c>
      <c r="T31" s="183" t="str">
        <f>IF(G31="M",IF(Tabla1532[[#This Row],[Tiempo]]="AB","",LOOKUP(Tabla1532[[#This Row],[CLAS CLASE2]],'Datos puntos'!$A$25:$A$53,'Datos puntos'!$B$25:$B$53)),"")</f>
        <v/>
      </c>
      <c r="U31" s="183" t="str">
        <f>IF(Tabla1532[[#This Row],[Puntos scratch3]]="","NO PUNTÚA",SUM(Tabla1532[[#This Row],[Puntos scratch3]],Tabla1532[[#This Row],[Puntos clase5]]))</f>
        <v>NO PUNTÚA</v>
      </c>
    </row>
    <row r="32" spans="1:24" x14ac:dyDescent="0.35">
      <c r="A32" s="176" t="s">
        <v>179</v>
      </c>
      <c r="B32" s="176">
        <v>33</v>
      </c>
      <c r="C32" s="179" t="s">
        <v>236</v>
      </c>
      <c r="D32" s="179" t="s">
        <v>683</v>
      </c>
      <c r="E32" s="179" t="s">
        <v>168</v>
      </c>
      <c r="F32" s="179" t="s">
        <v>684</v>
      </c>
      <c r="G32" s="179" t="s">
        <v>168</v>
      </c>
      <c r="H32" s="179" t="s">
        <v>685</v>
      </c>
      <c r="I32" s="180" t="s">
        <v>24</v>
      </c>
      <c r="J32" s="180">
        <v>4</v>
      </c>
      <c r="K32" s="181" t="s">
        <v>179</v>
      </c>
      <c r="L32" s="183" t="str">
        <f>IF(AND(E32="M",Tabla1532[[#This Row],[POS]]&lt;&gt;"AB",Tabla1532[[#This Row],[POS]]&lt;&gt;"DSQ"),COUNTIF($E$6:E32,"M"),"")</f>
        <v/>
      </c>
      <c r="M32" s="183" t="str">
        <f>IF(E32="M",IF(Tabla1532[[#This Row],[Tiempo]]="AB","",LOOKUP(Tabla1532[[#This Row],[CLAS SCRATCH]],'Datos puntos'!$A$2:$A$23,'Datos puntos'!$B$2:$B$23)),"")</f>
        <v/>
      </c>
      <c r="N32" s="183" t="str">
        <f>IF(AND(E32="M",Tabla1532[[#This Row],[POS]]&lt;&gt;"AB",Tabla1532[[#This Row],[POS]]&lt;&gt;"DSQ"),COUNTIFS($J$6:J32,Tabla1532[[#This Row],[Clase]],$E$6:E32,"M"),"")</f>
        <v/>
      </c>
      <c r="O32" s="183" t="str">
        <f>IF(E32="M",IF(Tabla1532[[#This Row],[Tiempo]]="AB","",LOOKUP(Tabla1532[[#This Row],[CLAS CLASE]],'Datos puntos'!$A$25:$A$53,'Datos puntos'!$B$25:$B$53)),"")</f>
        <v/>
      </c>
      <c r="P32" s="183" t="str">
        <f>IF(Tabla1532[[#This Row],[Puntos scratch]]="","NO PUNTÚA",SUM(Tabla1532[[#This Row],[Puntos scratch]],Tabla1532[[#This Row],[Puntos clase]]))</f>
        <v>NO PUNTÚA</v>
      </c>
      <c r="Q32" s="183" t="str">
        <f>IF(AND(G32="M",Tabla1532[[#This Row],[POS]]&lt;&gt;"AB",Tabla1532[[#This Row],[POS]]&lt;&gt;"DSQ"),COUNTIF($G$6:G32,"M"),"")</f>
        <v/>
      </c>
      <c r="R32" s="183" t="str">
        <f>IF(G32="M",IF(Tabla1532[[#This Row],[Tiempo]]="AB","",LOOKUP(Tabla1532[[#This Row],[CLAS SCRATCH2]],'Datos puntos'!$A$2:$A$23,'Datos puntos'!$B$2:$B$23)),"")</f>
        <v/>
      </c>
      <c r="S32" s="183" t="str">
        <f>IF(AND(G32="M",Tabla1532[[#This Row],[POS]]&lt;&gt;"AB",Tabla1532[[#This Row],[POS]]&lt;&gt;"DSQ"),COUNTIFS($J$6:J32,Tabla1532[[#This Row],[Clase]],$G$6:G32,"M"),"")</f>
        <v/>
      </c>
      <c r="T32" s="183" t="str">
        <f>IF(G32="M",IF(Tabla1532[[#This Row],[Tiempo]]="AB","",LOOKUP(Tabla1532[[#This Row],[CLAS CLASE2]],'Datos puntos'!$A$25:$A$53,'Datos puntos'!$B$25:$B$53)),"")</f>
        <v/>
      </c>
      <c r="U32" s="183" t="str">
        <f>IF(Tabla1532[[#This Row],[Puntos scratch3]]="","NO PUNTÚA",SUM(Tabla1532[[#This Row],[Puntos scratch3]],Tabla1532[[#This Row],[Puntos clase5]]))</f>
        <v>NO PUNTÚA</v>
      </c>
    </row>
    <row r="33" spans="1:24" x14ac:dyDescent="0.35">
      <c r="A33" s="176"/>
      <c r="B33" s="176"/>
      <c r="C33" s="179"/>
      <c r="D33" s="179"/>
      <c r="E33" s="179"/>
      <c r="F33" s="179"/>
      <c r="G33" s="179"/>
      <c r="H33" s="179"/>
      <c r="I33" s="180"/>
      <c r="J33" s="180"/>
      <c r="K33" s="181"/>
      <c r="L33" s="183" t="str">
        <f>IF(AND(E33="M",Tabla1532[[#This Row],[POS]]&lt;&gt;"AB",Tabla1532[[#This Row],[POS]]&lt;&gt;"DSQ"),COUNTIF($E$6:E33,"M"),"")</f>
        <v/>
      </c>
      <c r="M33" s="183" t="str">
        <f>IF(E33="M",IF(Tabla1532[[#This Row],[Tiempo]]="AB","",LOOKUP(Tabla1532[[#This Row],[CLAS SCRATCH]],'Datos puntos'!$A$2:$A$23,'Datos puntos'!$B$2:$B$23)),"")</f>
        <v/>
      </c>
      <c r="N33" s="183" t="str">
        <f>IF(AND(E33="M",Tabla1532[[#This Row],[POS]]&lt;&gt;"AB",Tabla1532[[#This Row],[POS]]&lt;&gt;"DSQ"),COUNTIFS($J$6:J33,Tabla1532[[#This Row],[Clase]],$E$6:E33,"M"),"")</f>
        <v/>
      </c>
      <c r="O33" s="183" t="str">
        <f>IF(E33="M",IF(Tabla1532[[#This Row],[Tiempo]]="AB","",LOOKUP(Tabla1532[[#This Row],[CLAS CLASE]],'Datos puntos'!$A$25:$A$53,'Datos puntos'!$B$25:$B$53)),"")</f>
        <v/>
      </c>
      <c r="P33" s="183" t="str">
        <f>IF(Tabla1532[[#This Row],[Puntos scratch]]="","NO PUNTÚA",SUM(Tabla1532[[#This Row],[Puntos scratch]],Tabla1532[[#This Row],[Puntos clase]]))</f>
        <v>NO PUNTÚA</v>
      </c>
      <c r="Q33" s="183" t="str">
        <f>IF(AND(G33="M",Tabla1532[[#This Row],[POS]]&lt;&gt;"AB",Tabla1532[[#This Row],[POS]]&lt;&gt;"DSQ"),COUNTIF($G$6:G33,"M"),"")</f>
        <v/>
      </c>
      <c r="R33" s="183" t="str">
        <f>IF(G33="M",IF(Tabla1532[[#This Row],[Tiempo]]="AB","",LOOKUP(Tabla1532[[#This Row],[CLAS SCRATCH2]],'Datos puntos'!$A$2:$A$23,'Datos puntos'!$B$2:$B$23)),"")</f>
        <v/>
      </c>
      <c r="S33" s="183" t="str">
        <f>IF(AND(G33="M",Tabla1532[[#This Row],[POS]]&lt;&gt;"AB",Tabla1532[[#This Row],[POS]]&lt;&gt;"DSQ"),COUNTIFS($J$6:J33,Tabla1532[[#This Row],[Clase]],$G$6:G33,"M"),"")</f>
        <v/>
      </c>
      <c r="T33" s="183" t="str">
        <f>IF(G33="M",IF(Tabla1532[[#This Row],[Tiempo]]="AB","",LOOKUP(Tabla1532[[#This Row],[CLAS CLASE2]],'Datos puntos'!$A$25:$A$53,'Datos puntos'!$B$25:$B$53)),"")</f>
        <v/>
      </c>
      <c r="U33" s="183" t="str">
        <f>IF(Tabla1532[[#This Row],[Puntos scratch3]]="","NO PUNTÚA",SUM(Tabla1532[[#This Row],[Puntos scratch3]],Tabla1532[[#This Row],[Puntos clase5]]))</f>
        <v>NO PUNTÚA</v>
      </c>
    </row>
    <row r="34" spans="1:24" x14ac:dyDescent="0.35">
      <c r="A34" s="176"/>
      <c r="B34" s="176"/>
      <c r="C34" s="179"/>
      <c r="D34" s="179"/>
      <c r="E34" s="179"/>
      <c r="F34" s="179"/>
      <c r="G34" s="179"/>
      <c r="H34" s="179"/>
      <c r="I34" s="180"/>
      <c r="J34" s="180"/>
      <c r="K34" s="181"/>
      <c r="L34" s="183" t="str">
        <f>IF(AND(E34="M",Tabla1532[[#This Row],[POS]]&lt;&gt;"AB",Tabla1532[[#This Row],[POS]]&lt;&gt;"DSQ"),COUNTIF($E$6:E34,"M"),"")</f>
        <v/>
      </c>
      <c r="M34" s="183" t="str">
        <f>IF(E34="M",IF(Tabla1532[[#This Row],[Tiempo]]="AB","",LOOKUP(Tabla1532[[#This Row],[CLAS SCRATCH]],'Datos puntos'!$A$2:$A$23,'Datos puntos'!$B$2:$B$23)),"")</f>
        <v/>
      </c>
      <c r="N34" s="183" t="str">
        <f>IF(AND(E34="M",Tabla1532[[#This Row],[POS]]&lt;&gt;"AB",Tabla1532[[#This Row],[POS]]&lt;&gt;"DSQ"),COUNTIFS($J$6:J34,Tabla1532[[#This Row],[Clase]],$E$6:E34,"M"),"")</f>
        <v/>
      </c>
      <c r="O34" s="183" t="str">
        <f>IF(E34="M",IF(Tabla1532[[#This Row],[Tiempo]]="AB","",LOOKUP(Tabla1532[[#This Row],[CLAS CLASE]],'Datos puntos'!$A$25:$A$53,'Datos puntos'!$B$25:$B$53)),"")</f>
        <v/>
      </c>
      <c r="P34" s="183" t="str">
        <f>IF(Tabla1532[[#This Row],[Puntos scratch]]="","NO PUNTÚA",SUM(Tabla1532[[#This Row],[Puntos scratch]],Tabla1532[[#This Row],[Puntos clase]]))</f>
        <v>NO PUNTÚA</v>
      </c>
      <c r="Q34" s="183" t="str">
        <f>IF(AND(G34="M",Tabla1532[[#This Row],[POS]]&lt;&gt;"AB",Tabla1532[[#This Row],[POS]]&lt;&gt;"DSQ"),COUNTIF($G$6:G34,"M"),"")</f>
        <v/>
      </c>
      <c r="R34" s="183" t="str">
        <f>IF(G34="M",IF(Tabla1532[[#This Row],[Tiempo]]="AB","",LOOKUP(Tabla1532[[#This Row],[CLAS SCRATCH2]],'Datos puntos'!$A$2:$A$23,'Datos puntos'!$B$2:$B$23)),"")</f>
        <v/>
      </c>
      <c r="S34" s="183" t="str">
        <f>IF(AND(G34="M",Tabla1532[[#This Row],[POS]]&lt;&gt;"AB",Tabla1532[[#This Row],[POS]]&lt;&gt;"DSQ"),COUNTIFS($J$6:J34,Tabla1532[[#This Row],[Clase]],$G$6:G34,"M"),"")</f>
        <v/>
      </c>
      <c r="T34" s="183" t="str">
        <f>IF(G34="M",IF(Tabla1532[[#This Row],[Tiempo]]="AB","",LOOKUP(Tabla1532[[#This Row],[CLAS CLASE2]],'Datos puntos'!$A$25:$A$53,'Datos puntos'!$B$25:$B$53)),"")</f>
        <v/>
      </c>
      <c r="U34" s="183" t="str">
        <f>IF(Tabla1532[[#This Row],[Puntos scratch3]]="","NO PUNTÚA",SUM(Tabla1532[[#This Row],[Puntos scratch3]],Tabla1532[[#This Row],[Puntos clase5]]))</f>
        <v>NO PUNTÚA</v>
      </c>
    </row>
    <row r="35" spans="1:24" x14ac:dyDescent="0.35">
      <c r="A35" s="176"/>
      <c r="B35" s="176"/>
      <c r="C35" s="179"/>
      <c r="D35" s="179"/>
      <c r="E35" s="179"/>
      <c r="F35" s="179"/>
      <c r="G35" s="179"/>
      <c r="H35" s="179"/>
      <c r="I35" s="180"/>
      <c r="J35" s="180"/>
      <c r="K35" s="181"/>
      <c r="L35" s="183" t="str">
        <f>IF(AND(E35="M",Tabla1532[[#This Row],[POS]]&lt;&gt;"AB",Tabla1532[[#This Row],[POS]]&lt;&gt;"DSQ"),COUNTIF($E$6:E35,"M"),"")</f>
        <v/>
      </c>
      <c r="M35" s="183" t="str">
        <f>IF(E35="M",IF(Tabla1532[[#This Row],[Tiempo]]="AB","",LOOKUP(Tabla1532[[#This Row],[CLAS SCRATCH]],'Datos puntos'!$A$2:$A$23,'Datos puntos'!$B$2:$B$23)),"")</f>
        <v/>
      </c>
      <c r="N35" s="183" t="str">
        <f>IF(AND(E35="M",Tabla1532[[#This Row],[POS]]&lt;&gt;"AB",Tabla1532[[#This Row],[POS]]&lt;&gt;"DSQ"),COUNTIFS($J$6:J35,Tabla1532[[#This Row],[Clase]],$E$6:E35,"M"),"")</f>
        <v/>
      </c>
      <c r="O35" s="183" t="str">
        <f>IF(E35="M",IF(Tabla1532[[#This Row],[Tiempo]]="AB","",LOOKUP(Tabla1532[[#This Row],[CLAS CLASE]],'Datos puntos'!$A$25:$A$53,'Datos puntos'!$B$25:$B$53)),"")</f>
        <v/>
      </c>
      <c r="P35" s="183" t="str">
        <f>IF(Tabla1532[[#This Row],[Puntos scratch]]="","NO PUNTÚA",SUM(Tabla1532[[#This Row],[Puntos scratch]],Tabla1532[[#This Row],[Puntos clase]]))</f>
        <v>NO PUNTÚA</v>
      </c>
      <c r="Q35" s="183" t="str">
        <f>IF(AND(G35="M",Tabla1532[[#This Row],[POS]]&lt;&gt;"AB",Tabla1532[[#This Row],[POS]]&lt;&gt;"DSQ"),COUNTIF($G$6:G35,"M"),"")</f>
        <v/>
      </c>
      <c r="R35" s="183" t="str">
        <f>IF(G35="M",IF(Tabla1532[[#This Row],[Tiempo]]="AB","",LOOKUP(Tabla1532[[#This Row],[CLAS SCRATCH2]],'Datos puntos'!$A$2:$A$23,'Datos puntos'!$B$2:$B$23)),"")</f>
        <v/>
      </c>
      <c r="S35" s="183" t="str">
        <f>IF(AND(G35="M",Tabla1532[[#This Row],[POS]]&lt;&gt;"AB",Tabla1532[[#This Row],[POS]]&lt;&gt;"DSQ"),COUNTIFS($J$6:J35,Tabla1532[[#This Row],[Clase]],$G$6:G35,"M"),"")</f>
        <v/>
      </c>
      <c r="T35" s="183" t="str">
        <f>IF(G35="M",IF(Tabla1532[[#This Row],[Tiempo]]="AB","",LOOKUP(Tabla1532[[#This Row],[CLAS CLASE2]],'Datos puntos'!$A$25:$A$53,'Datos puntos'!$B$25:$B$53)),"")</f>
        <v/>
      </c>
      <c r="U35" s="183" t="str">
        <f>IF(Tabla1532[[#This Row],[Puntos scratch3]]="","NO PUNTÚA",SUM(Tabla1532[[#This Row],[Puntos scratch3]],Tabla1532[[#This Row],[Puntos clase5]]))</f>
        <v>NO PUNTÚA</v>
      </c>
    </row>
    <row r="36" spans="1:24" x14ac:dyDescent="0.35">
      <c r="A36" s="176"/>
      <c r="B36" s="176"/>
      <c r="C36" s="179"/>
      <c r="D36" s="179"/>
      <c r="E36" s="468"/>
      <c r="F36" s="179"/>
      <c r="G36" s="179"/>
      <c r="H36" s="179"/>
      <c r="I36" s="180"/>
      <c r="J36" s="180"/>
      <c r="K36" s="181"/>
      <c r="L36" s="183" t="str">
        <f>IF(AND(E36="M",Tabla1532[[#This Row],[POS]]&lt;&gt;"AB",Tabla1532[[#This Row],[POS]]&lt;&gt;"DSQ"),COUNTIF($E$6:E36,"M"),"")</f>
        <v/>
      </c>
      <c r="M36" s="183" t="str">
        <f>IF(E36="M",IF(Tabla1532[[#This Row],[Tiempo]]="AB","",LOOKUP(Tabla1532[[#This Row],[CLAS SCRATCH]],'Datos puntos'!$A$2:$A$23,'Datos puntos'!$B$2:$B$23)),"")</f>
        <v/>
      </c>
      <c r="N36" s="183" t="str">
        <f>IF(AND(E36="M",Tabla1532[[#This Row],[POS]]&lt;&gt;"AB",Tabla1532[[#This Row],[POS]]&lt;&gt;"DSQ"),COUNTIFS($J$6:J36,Tabla1532[[#This Row],[Clase]],$E$6:E36,"M"),"")</f>
        <v/>
      </c>
      <c r="O36" s="183" t="str">
        <f>IF(E36="M",IF(Tabla1532[[#This Row],[Tiempo]]="AB","",LOOKUP(Tabla1532[[#This Row],[CLAS CLASE]],'Datos puntos'!$A$25:$A$53,'Datos puntos'!$B$25:$B$53)),"")</f>
        <v/>
      </c>
      <c r="P36" s="183" t="str">
        <f>IF(Tabla1532[[#This Row],[Puntos scratch]]="","NO PUNTÚA",SUM(Tabla1532[[#This Row],[Puntos scratch]],Tabla1532[[#This Row],[Puntos clase]]))</f>
        <v>NO PUNTÚA</v>
      </c>
      <c r="Q36" s="183" t="str">
        <f>IF(AND(G36="M",Tabla1532[[#This Row],[POS]]&lt;&gt;"AB",Tabla1532[[#This Row],[POS]]&lt;&gt;"DSQ"),COUNTIF($G$6:G36,"M"),"")</f>
        <v/>
      </c>
      <c r="R36" s="183" t="str">
        <f>IF(G36="M",IF(Tabla1532[[#This Row],[Tiempo]]="AB","",LOOKUP(Tabla1532[[#This Row],[CLAS SCRATCH2]],'Datos puntos'!$A$2:$A$23,'Datos puntos'!$B$2:$B$23)),"")</f>
        <v/>
      </c>
      <c r="S36" s="183" t="str">
        <f>IF(AND(G36="M",Tabla1532[[#This Row],[POS]]&lt;&gt;"AB",Tabla1532[[#This Row],[POS]]&lt;&gt;"DSQ"),COUNTIFS($J$6:J36,Tabla1532[[#This Row],[Clase]],$G$6:G36,"M"),"")</f>
        <v/>
      </c>
      <c r="T36" s="183" t="str">
        <f>IF(G36="M",IF(Tabla1532[[#This Row],[Tiempo]]="AB","",LOOKUP(Tabla1532[[#This Row],[CLAS CLASE2]],'Datos puntos'!$A$25:$A$53,'Datos puntos'!$B$25:$B$53)),"")</f>
        <v/>
      </c>
      <c r="U36" s="183" t="str">
        <f>IF(Tabla1532[[#This Row],[Puntos scratch3]]="","NO PUNTÚA",SUM(Tabla1532[[#This Row],[Puntos scratch3]],Tabla1532[[#This Row],[Puntos clase5]]))</f>
        <v>NO PUNTÚA</v>
      </c>
    </row>
    <row r="37" spans="1:24" x14ac:dyDescent="0.35">
      <c r="A37" s="176"/>
      <c r="B37" s="176"/>
      <c r="C37" s="179"/>
      <c r="D37" s="179"/>
      <c r="E37" s="179"/>
      <c r="F37" s="179"/>
      <c r="G37" s="179"/>
      <c r="H37" s="179"/>
      <c r="I37" s="180"/>
      <c r="J37" s="180"/>
      <c r="K37" s="181"/>
      <c r="L37" s="182"/>
      <c r="M37" s="182"/>
      <c r="N37" s="182"/>
      <c r="O37" s="183"/>
      <c r="P37" s="183"/>
      <c r="Q37" s="183"/>
      <c r="R37" s="183"/>
      <c r="S37" s="183"/>
      <c r="T37" s="183"/>
      <c r="U37" s="183"/>
      <c r="V37" s="183"/>
      <c r="W37" s="183"/>
      <c r="X37" s="183"/>
    </row>
    <row r="38" spans="1:24" x14ac:dyDescent="0.35">
      <c r="A38" s="176"/>
      <c r="B38" s="176"/>
      <c r="C38" s="179"/>
      <c r="D38" s="179"/>
      <c r="E38" s="179"/>
      <c r="F38" s="179"/>
      <c r="G38" s="179"/>
      <c r="H38" s="179"/>
      <c r="I38" s="180"/>
      <c r="J38" s="180"/>
      <c r="K38" s="181"/>
      <c r="L38" s="182"/>
      <c r="M38" s="182"/>
      <c r="N38" s="182"/>
      <c r="O38" s="183"/>
      <c r="P38" s="183"/>
      <c r="Q38" s="183"/>
      <c r="R38" s="183"/>
      <c r="S38" s="183"/>
      <c r="T38" s="183"/>
      <c r="U38" s="183"/>
      <c r="V38" s="183"/>
      <c r="W38" s="183"/>
      <c r="X38" s="183"/>
    </row>
    <row r="39" spans="1:24" ht="15.5" x14ac:dyDescent="0.35">
      <c r="A39" s="174" t="s">
        <v>186</v>
      </c>
      <c r="B39" s="174"/>
      <c r="C39" s="174"/>
      <c r="D39" s="174"/>
      <c r="E39" s="174"/>
      <c r="F39" s="174"/>
      <c r="G39" s="174"/>
      <c r="H39" s="174"/>
      <c r="I39" s="174"/>
      <c r="J39" s="174"/>
      <c r="K39" s="174"/>
      <c r="L39" s="175"/>
      <c r="M39" s="175"/>
      <c r="N39" s="174" t="s">
        <v>1</v>
      </c>
      <c r="P39" s="199"/>
      <c r="Q39" s="199"/>
      <c r="R39" s="199"/>
      <c r="S39" s="202" t="s">
        <v>166</v>
      </c>
      <c r="U39" s="199"/>
      <c r="W39" s="199"/>
      <c r="X39" s="199"/>
    </row>
    <row r="40" spans="1:24" s="216" customFormat="1" x14ac:dyDescent="0.35">
      <c r="A40" s="213" t="s">
        <v>190</v>
      </c>
      <c r="B40" s="186" t="s">
        <v>191</v>
      </c>
      <c r="C40" s="186" t="s">
        <v>192</v>
      </c>
      <c r="D40" s="186" t="s">
        <v>193</v>
      </c>
      <c r="E40" s="186" t="s">
        <v>194</v>
      </c>
      <c r="F40" s="186" t="s">
        <v>195</v>
      </c>
      <c r="G40" s="186" t="s">
        <v>196</v>
      </c>
      <c r="H40" s="186" t="s">
        <v>197</v>
      </c>
      <c r="I40" s="186" t="s">
        <v>198</v>
      </c>
      <c r="J40" s="186" t="s">
        <v>2</v>
      </c>
      <c r="K40" s="213" t="s">
        <v>199</v>
      </c>
      <c r="L40" s="207" t="s">
        <v>214</v>
      </c>
      <c r="M40" s="208" t="s">
        <v>217</v>
      </c>
      <c r="N40" s="208" t="s">
        <v>254</v>
      </c>
      <c r="O40" s="208" t="s">
        <v>218</v>
      </c>
      <c r="P40" s="208" t="s">
        <v>219</v>
      </c>
      <c r="Q40" s="209" t="s">
        <v>228</v>
      </c>
      <c r="R40" s="209" t="s">
        <v>229</v>
      </c>
      <c r="S40" s="209" t="s">
        <v>255</v>
      </c>
      <c r="T40" s="209" t="s">
        <v>230</v>
      </c>
      <c r="U40" s="209" t="s">
        <v>231</v>
      </c>
    </row>
    <row r="41" spans="1:24" x14ac:dyDescent="0.35">
      <c r="A41" s="193">
        <v>1</v>
      </c>
      <c r="B41" s="193">
        <v>4</v>
      </c>
      <c r="C41" s="469" t="s">
        <v>169</v>
      </c>
      <c r="D41" s="194" t="s">
        <v>570</v>
      </c>
      <c r="E41" s="194" t="s">
        <v>168</v>
      </c>
      <c r="F41" s="194" t="s">
        <v>572</v>
      </c>
      <c r="G41" s="194" t="s">
        <v>168</v>
      </c>
      <c r="H41" s="194" t="s">
        <v>326</v>
      </c>
      <c r="I41" s="195" t="s">
        <v>186</v>
      </c>
      <c r="J41" s="195">
        <v>6</v>
      </c>
      <c r="K41" s="187"/>
      <c r="L41" s="183">
        <f>IF(AND(E41="M",Tabla3234[[#This Row],[POS]]&lt;&gt;"AB",Tabla3234[[#This Row],[POS]]&lt;&gt;"DSQ"),COUNTIF($E$41:E41,"M"),"")</f>
        <v>1</v>
      </c>
      <c r="M41" s="183">
        <f>IF(E41="M",IF(Tabla3234[[#This Row],[Tiempo]]="AB","",LOOKUP(Tabla3234[[#This Row],[CLAS SCRATCH]],'Datos puntos'!$A$2:$A$23,'Datos puntos'!$B$2:$B$23)),"")</f>
        <v>25</v>
      </c>
      <c r="N41" s="183">
        <f>Tabla3234[[#This Row],[CLAS SCRATCH]]</f>
        <v>1</v>
      </c>
      <c r="O41" s="183">
        <f>IF(E41="M",IF(Tabla3234[[#This Row],[Tiempo]]="AB","",LOOKUP(Tabla3234[[#This Row],[CLAS CLASE]],'Datos puntos'!$A$25:$A$53,'Datos puntos'!$B$25:$B$53)),"")</f>
        <v>10</v>
      </c>
      <c r="P41" s="183">
        <f>IF(Tabla3234[[#This Row],[Puntos scratch]]="","NO PUNTÚA",SUM(Tabla3234[[#This Row],[Puntos scratch]],Tabla3234[[#This Row],[Puntos clase]]))</f>
        <v>35</v>
      </c>
      <c r="Q41" s="183">
        <f>IF(AND(G41="M",Tabla3234[[#This Row],[POS]]&lt;&gt;"AB",Tabla3234[[#This Row],[POS]]&lt;&gt;"DSQ"),COUNTIF($G$41:G41,"M"),"")</f>
        <v>1</v>
      </c>
      <c r="R41" s="183">
        <f>IF(G41="M",IF(Tabla3234[[#This Row],[Tiempo]]="AB","",LOOKUP(Tabla3234[[#This Row],[CLAS SCRATCH2]],'Datos puntos'!$A$2:$A$23,'Datos puntos'!$B$2:$B$23)),"")</f>
        <v>25</v>
      </c>
      <c r="S41" s="183">
        <f>Tabla3234[[#This Row],[CLAS SCRATCH2]]</f>
        <v>1</v>
      </c>
      <c r="T41" s="183">
        <f>IF(G41="M",IF(Tabla3234[[#This Row],[Tiempo]]="AB","",LOOKUP(Tabla3234[[#This Row],[CLAS CLASE2]],'Datos puntos'!$A$25:$A$53,'Datos puntos'!$B$25:$B$53)),"")</f>
        <v>10</v>
      </c>
      <c r="U41" s="183">
        <f>IF(Tabla3234[[#This Row],[Puntos scratch3]]="","NO PUNTÚA",SUM(Tabla3234[[#This Row],[Puntos scratch3]],Tabla3234[[#This Row],[Puntos clase5]]))</f>
        <v>35</v>
      </c>
    </row>
    <row r="42" spans="1:24" x14ac:dyDescent="0.35">
      <c r="A42" s="193">
        <v>2</v>
      </c>
      <c r="B42" s="193">
        <v>21</v>
      </c>
      <c r="C42" s="244" t="s">
        <v>567</v>
      </c>
      <c r="D42" s="194" t="s">
        <v>687</v>
      </c>
      <c r="E42" s="194" t="s">
        <v>168</v>
      </c>
      <c r="F42" s="194" t="s">
        <v>688</v>
      </c>
      <c r="G42" s="194" t="s">
        <v>168</v>
      </c>
      <c r="H42" s="194" t="s">
        <v>326</v>
      </c>
      <c r="I42" s="195" t="s">
        <v>186</v>
      </c>
      <c r="J42" s="195">
        <v>6</v>
      </c>
      <c r="K42" s="187"/>
      <c r="L42" s="183">
        <f>IF(AND(E42="M",Tabla3234[[#This Row],[POS]]&lt;&gt;"AB",Tabla3234[[#This Row],[POS]]&lt;&gt;"DSQ"),COUNTIF($E$41:E42,"M"),"")</f>
        <v>2</v>
      </c>
      <c r="M42" s="183">
        <f>IF(E42="M",IF(Tabla3234[[#This Row],[Tiempo]]="AB","",LOOKUP(Tabla3234[[#This Row],[CLAS SCRATCH]],'Datos puntos'!$A$2:$A$23,'Datos puntos'!$B$2:$B$23)),"")</f>
        <v>20</v>
      </c>
      <c r="N42" s="183">
        <f>Tabla3234[[#This Row],[CLAS SCRATCH]]</f>
        <v>2</v>
      </c>
      <c r="O42" s="183">
        <f>IF(E42="M",IF(Tabla3234[[#This Row],[Tiempo]]="AB","",LOOKUP(Tabla3234[[#This Row],[CLAS CLASE]],'Datos puntos'!$A$25:$A$53,'Datos puntos'!$B$25:$B$53)),"")</f>
        <v>8</v>
      </c>
      <c r="P42" s="183">
        <f>IF(Tabla3234[[#This Row],[Puntos scratch]]="","NO PUNTÚA",SUM(Tabla3234[[#This Row],[Puntos scratch]],Tabla3234[[#This Row],[Puntos clase]]))</f>
        <v>28</v>
      </c>
      <c r="Q42" s="183">
        <f>IF(AND(G42="M",Tabla3234[[#This Row],[POS]]&lt;&gt;"AB",Tabla3234[[#This Row],[POS]]&lt;&gt;"DSQ"),COUNTIF($G$41:G42,"M"),"")</f>
        <v>2</v>
      </c>
      <c r="R42" s="183">
        <f>IF(G42="M",IF(Tabla3234[[#This Row],[Tiempo]]="AB","",LOOKUP(Tabla3234[[#This Row],[CLAS SCRATCH2]],'Datos puntos'!$A$2:$A$23,'Datos puntos'!$B$2:$B$23)),"")</f>
        <v>20</v>
      </c>
      <c r="S42" s="183">
        <f>Tabla3234[[#This Row],[CLAS SCRATCH2]]</f>
        <v>2</v>
      </c>
      <c r="T42" s="183">
        <f>IF(G42="M",IF(Tabla3234[[#This Row],[Tiempo]]="AB","",LOOKUP(Tabla3234[[#This Row],[CLAS CLASE2]],'Datos puntos'!$A$25:$A$53,'Datos puntos'!$B$25:$B$53)),"")</f>
        <v>8</v>
      </c>
      <c r="U42" s="183">
        <f>IF(Tabla3234[[#This Row],[Puntos scratch3]]="","NO PUNTÚA",SUM(Tabla3234[[#This Row],[Puntos scratch3]],Tabla3234[[#This Row],[Puntos clase5]]))</f>
        <v>28</v>
      </c>
    </row>
    <row r="43" spans="1:24" x14ac:dyDescent="0.35">
      <c r="A43" s="193">
        <v>3</v>
      </c>
      <c r="B43" s="193">
        <v>22</v>
      </c>
      <c r="C43" s="194" t="s">
        <v>686</v>
      </c>
      <c r="D43" s="194" t="s">
        <v>689</v>
      </c>
      <c r="E43" s="194" t="s">
        <v>168</v>
      </c>
      <c r="F43" s="194" t="s">
        <v>690</v>
      </c>
      <c r="G43" s="194" t="s">
        <v>168</v>
      </c>
      <c r="H43" s="194" t="s">
        <v>389</v>
      </c>
      <c r="I43" s="195" t="s">
        <v>186</v>
      </c>
      <c r="J43" s="195">
        <v>6</v>
      </c>
      <c r="K43" s="187"/>
      <c r="L43" s="183">
        <f>IF(AND(E43="M",Tabla3234[[#This Row],[POS]]&lt;&gt;"AB",Tabla3234[[#This Row],[POS]]&lt;&gt;"DSQ"),COUNTIF($E$41:E43,"M"),"")</f>
        <v>3</v>
      </c>
      <c r="M43" s="183">
        <f>IF(E43="M",IF(Tabla3234[[#This Row],[Tiempo]]="AB","",LOOKUP(Tabla3234[[#This Row],[CLAS SCRATCH]],'Datos puntos'!$A$2:$A$23,'Datos puntos'!$B$2:$B$23)),"")</f>
        <v>17</v>
      </c>
      <c r="N43" s="183">
        <f>Tabla3234[[#This Row],[CLAS SCRATCH]]</f>
        <v>3</v>
      </c>
      <c r="O43" s="183">
        <f>IF(E43="M",IF(Tabla3234[[#This Row],[Tiempo]]="AB","",LOOKUP(Tabla3234[[#This Row],[CLAS CLASE]],'Datos puntos'!$A$25:$A$53,'Datos puntos'!$B$25:$B$53)),"")</f>
        <v>6</v>
      </c>
      <c r="P43" s="183">
        <f>IF(Tabla3234[[#This Row],[Puntos scratch]]="","NO PUNTÚA",SUM(Tabla3234[[#This Row],[Puntos scratch]],Tabla3234[[#This Row],[Puntos clase]]))</f>
        <v>23</v>
      </c>
      <c r="Q43" s="183">
        <f>IF(AND(G43="M",Tabla3234[[#This Row],[POS]]&lt;&gt;"AB",Tabla3234[[#This Row],[POS]]&lt;&gt;"DSQ"),COUNTIF($G$41:G43,"M"),"")</f>
        <v>3</v>
      </c>
      <c r="R43" s="183">
        <f>IF(G43="M",IF(Tabla3234[[#This Row],[Tiempo]]="AB","",LOOKUP(Tabla3234[[#This Row],[CLAS SCRATCH2]],'Datos puntos'!$A$2:$A$23,'Datos puntos'!$B$2:$B$23)),"")</f>
        <v>17</v>
      </c>
      <c r="S43" s="183">
        <f>Tabla3234[[#This Row],[CLAS SCRATCH2]]</f>
        <v>3</v>
      </c>
      <c r="T43" s="183">
        <f>IF(G43="M",IF(Tabla3234[[#This Row],[Tiempo]]="AB","",LOOKUP(Tabla3234[[#This Row],[CLAS CLASE2]],'Datos puntos'!$A$25:$A$53,'Datos puntos'!$B$25:$B$53)),"")</f>
        <v>6</v>
      </c>
      <c r="U43" s="183">
        <f>IF(Tabla3234[[#This Row],[Puntos scratch3]]="","NO PUNTÚA",SUM(Tabla3234[[#This Row],[Puntos scratch3]],Tabla3234[[#This Row],[Puntos clase5]]))</f>
        <v>23</v>
      </c>
    </row>
    <row r="44" spans="1:24" x14ac:dyDescent="0.35">
      <c r="A44" s="193">
        <v>4</v>
      </c>
      <c r="B44" s="193">
        <v>6</v>
      </c>
      <c r="C44" s="469" t="s">
        <v>169</v>
      </c>
      <c r="D44" s="194" t="s">
        <v>571</v>
      </c>
      <c r="E44" s="194" t="s">
        <v>168</v>
      </c>
      <c r="F44" s="194" t="s">
        <v>573</v>
      </c>
      <c r="G44" s="194" t="s">
        <v>168</v>
      </c>
      <c r="H44" s="194" t="s">
        <v>326</v>
      </c>
      <c r="I44" s="195" t="s">
        <v>186</v>
      </c>
      <c r="J44" s="195">
        <v>6</v>
      </c>
      <c r="K44" s="181"/>
      <c r="L44" s="183">
        <f>IF(AND(E44="M",Tabla3234[[#This Row],[POS]]&lt;&gt;"AB",Tabla3234[[#This Row],[POS]]&lt;&gt;"DSQ"),COUNTIF($E$41:E44,"M"),"")</f>
        <v>4</v>
      </c>
      <c r="M44" s="183">
        <f>IF(E44="M",IF(Tabla3234[[#This Row],[Tiempo]]="AB","",LOOKUP(Tabla3234[[#This Row],[CLAS SCRATCH]],'Datos puntos'!$A$2:$A$23,'Datos puntos'!$B$2:$B$23)),"")</f>
        <v>15</v>
      </c>
      <c r="N44" s="183">
        <f>Tabla3234[[#This Row],[CLAS SCRATCH]]</f>
        <v>4</v>
      </c>
      <c r="O44" s="183">
        <f>IF(E44="M",IF(Tabla3234[[#This Row],[Tiempo]]="AB","",LOOKUP(Tabla3234[[#This Row],[CLAS CLASE]],'Datos puntos'!$A$25:$A$53,'Datos puntos'!$B$25:$B$53)),"")</f>
        <v>5</v>
      </c>
      <c r="P44" s="183">
        <f>IF(Tabla3234[[#This Row],[Puntos scratch]]="","NO PUNTÚA",SUM(Tabla3234[[#This Row],[Puntos scratch]],Tabla3234[[#This Row],[Puntos clase]]))</f>
        <v>20</v>
      </c>
      <c r="Q44" s="183">
        <f>IF(AND(G44="M",Tabla3234[[#This Row],[POS]]&lt;&gt;"AB",Tabla3234[[#This Row],[POS]]&lt;&gt;"DSQ"),COUNTIF($G$41:G44,"M"),"")</f>
        <v>4</v>
      </c>
      <c r="R44" s="183">
        <f>IF(G44="M",IF(Tabla3234[[#This Row],[Tiempo]]="AB","",LOOKUP(Tabla3234[[#This Row],[CLAS SCRATCH2]],'Datos puntos'!$A$2:$A$23,'Datos puntos'!$B$2:$B$23)),"")</f>
        <v>15</v>
      </c>
      <c r="S44" s="183">
        <f>Tabla3234[[#This Row],[CLAS SCRATCH2]]</f>
        <v>4</v>
      </c>
      <c r="T44" s="183">
        <f>IF(G44="M",IF(Tabla3234[[#This Row],[Tiempo]]="AB","",LOOKUP(Tabla3234[[#This Row],[CLAS CLASE2]],'Datos puntos'!$A$25:$A$53,'Datos puntos'!$B$25:$B$53)),"")</f>
        <v>5</v>
      </c>
      <c r="U44" s="183">
        <f>IF(Tabla3234[[#This Row],[Puntos scratch3]]="","NO PUNTÚA",SUM(Tabla3234[[#This Row],[Puntos scratch3]],Tabla3234[[#This Row],[Puntos clase5]]))</f>
        <v>20</v>
      </c>
    </row>
    <row r="45" spans="1:24" x14ac:dyDescent="0.35">
      <c r="A45" s="193"/>
      <c r="B45" s="193"/>
      <c r="C45" s="194"/>
      <c r="D45" s="194"/>
      <c r="E45" s="194"/>
      <c r="F45" s="194"/>
      <c r="G45" s="194"/>
      <c r="H45" s="194"/>
      <c r="I45" s="195"/>
      <c r="J45" s="195"/>
      <c r="K45" s="181"/>
      <c r="L45" s="183" t="str">
        <f>IF(AND(E45="M",Tabla3234[[#This Row],[POS]]&lt;&gt;"AB",Tabla3234[[#This Row],[POS]]&lt;&gt;"DSQ"),COUNTIF($E$41:E45,"M"),"")</f>
        <v/>
      </c>
      <c r="M45" s="183" t="str">
        <f>IF(E45="M",IF(Tabla3234[[#This Row],[Tiempo]]="AB","",LOOKUP(Tabla3234[[#This Row],[CLAS SCRATCH]],'Datos puntos'!$A$2:$A$23,'Datos puntos'!$B$2:$B$23)),"")</f>
        <v/>
      </c>
      <c r="N45" s="183" t="str">
        <f>Tabla3234[[#This Row],[CLAS SCRATCH]]</f>
        <v/>
      </c>
      <c r="O45" s="183" t="str">
        <f>IF(E45="M",IF(Tabla3234[[#This Row],[Tiempo]]="AB","",LOOKUP(Tabla3234[[#This Row],[CLAS CLASE]],'Datos puntos'!$A$25:$A$53,'Datos puntos'!$B$25:$B$53)),"")</f>
        <v/>
      </c>
      <c r="P45" s="183" t="str">
        <f>IF(Tabla3234[[#This Row],[Puntos scratch]]="","NO PUNTÚA",SUM(Tabla3234[[#This Row],[Puntos scratch]],Tabla3234[[#This Row],[Puntos clase]]))</f>
        <v>NO PUNTÚA</v>
      </c>
      <c r="Q45" s="183" t="str">
        <f>IF(AND(G45="M",Tabla3234[[#This Row],[POS]]&lt;&gt;"AB",Tabla3234[[#This Row],[POS]]&lt;&gt;"DSQ"),COUNTIF($G$41:G45,"M"),"")</f>
        <v/>
      </c>
      <c r="R45" s="183" t="str">
        <f>IF(G45="M",IF(Tabla3234[[#This Row],[Tiempo]]="AB","",LOOKUP(Tabla3234[[#This Row],[CLAS SCRATCH2]],'Datos puntos'!$A$2:$A$23,'Datos puntos'!$B$2:$B$23)),"")</f>
        <v/>
      </c>
      <c r="S45" s="183" t="str">
        <f>Tabla3234[[#This Row],[CLAS SCRATCH2]]</f>
        <v/>
      </c>
      <c r="T45" s="183" t="str">
        <f>IF(G45="M",IF(Tabla3234[[#This Row],[Tiempo]]="AB","",LOOKUP(Tabla3234[[#This Row],[CLAS CLASE2]],'Datos puntos'!$A$25:$A$53,'Datos puntos'!$B$25:$B$53)),"")</f>
        <v/>
      </c>
      <c r="U45" s="183" t="str">
        <f>IF(Tabla3234[[#This Row],[Puntos scratch3]]="","NO PUNTÚA",SUM(Tabla3234[[#This Row],[Puntos scratch3]],Tabla3234[[#This Row],[Puntos clase5]]))</f>
        <v>NO PUNTÚA</v>
      </c>
    </row>
    <row r="46" spans="1:24" x14ac:dyDescent="0.35">
      <c r="A46" s="193"/>
      <c r="B46" s="193"/>
      <c r="C46" s="194"/>
      <c r="D46" s="194"/>
      <c r="E46" s="194"/>
      <c r="F46" s="194"/>
      <c r="G46" s="194"/>
      <c r="H46" s="194"/>
      <c r="I46" s="195"/>
      <c r="J46" s="195"/>
      <c r="K46" s="187"/>
      <c r="L46" s="189"/>
      <c r="M46" s="189"/>
      <c r="N46" s="182"/>
    </row>
    <row r="47" spans="1:24" x14ac:dyDescent="0.35">
      <c r="A47" s="193"/>
      <c r="B47" s="193"/>
      <c r="C47" s="194"/>
      <c r="D47" s="194"/>
      <c r="E47" s="194"/>
      <c r="F47" s="194"/>
      <c r="G47" s="194"/>
      <c r="H47" s="194"/>
      <c r="I47" s="195"/>
      <c r="J47" s="195"/>
      <c r="K47" s="187"/>
      <c r="L47" s="189"/>
      <c r="M47" s="189"/>
      <c r="N47" s="182"/>
    </row>
    <row r="48" spans="1:24" ht="15.5" x14ac:dyDescent="0.35">
      <c r="A48" s="203" t="s">
        <v>261</v>
      </c>
      <c r="B48" s="203"/>
      <c r="C48" s="204"/>
      <c r="D48" s="204"/>
      <c r="E48" s="204"/>
      <c r="F48" s="204"/>
      <c r="G48" s="204"/>
      <c r="H48" s="204"/>
      <c r="I48" s="204"/>
      <c r="J48" s="204"/>
      <c r="K48" s="205"/>
      <c r="L48" s="189"/>
      <c r="M48" s="189"/>
      <c r="N48" s="174" t="s">
        <v>1</v>
      </c>
      <c r="O48" s="174"/>
      <c r="P48" s="199"/>
      <c r="Q48" s="199"/>
      <c r="R48" s="199"/>
      <c r="S48" s="176" t="s">
        <v>166</v>
      </c>
      <c r="T48" s="202"/>
      <c r="U48" s="199"/>
      <c r="V48" s="199"/>
      <c r="W48" s="199"/>
      <c r="X48" s="199"/>
    </row>
    <row r="49" spans="1:24" x14ac:dyDescent="0.35">
      <c r="A49" s="193" t="s">
        <v>190</v>
      </c>
      <c r="B49" s="193" t="s">
        <v>191</v>
      </c>
      <c r="C49" s="194" t="s">
        <v>192</v>
      </c>
      <c r="D49" s="194" t="s">
        <v>193</v>
      </c>
      <c r="E49" s="194" t="s">
        <v>262</v>
      </c>
      <c r="F49" s="194" t="s">
        <v>195</v>
      </c>
      <c r="G49" s="194" t="s">
        <v>263</v>
      </c>
      <c r="H49" s="194" t="s">
        <v>197</v>
      </c>
      <c r="I49" s="195" t="s">
        <v>198</v>
      </c>
      <c r="J49" s="195" t="s">
        <v>2</v>
      </c>
      <c r="K49" s="187" t="s">
        <v>199</v>
      </c>
      <c r="L49" s="210" t="s">
        <v>214</v>
      </c>
      <c r="M49" s="211" t="s">
        <v>217</v>
      </c>
      <c r="N49" s="211" t="s">
        <v>254</v>
      </c>
      <c r="O49" s="211" t="s">
        <v>218</v>
      </c>
      <c r="P49" s="211" t="s">
        <v>219</v>
      </c>
      <c r="Q49" s="212" t="s">
        <v>228</v>
      </c>
      <c r="R49" s="212" t="s">
        <v>229</v>
      </c>
      <c r="S49" s="212" t="s">
        <v>255</v>
      </c>
      <c r="T49" s="212" t="s">
        <v>230</v>
      </c>
      <c r="U49" s="212" t="s">
        <v>231</v>
      </c>
    </row>
    <row r="50" spans="1:24" x14ac:dyDescent="0.35">
      <c r="A50" s="193">
        <v>1</v>
      </c>
      <c r="B50" s="193">
        <v>34</v>
      </c>
      <c r="C50" s="470" t="s">
        <v>330</v>
      </c>
      <c r="D50" s="194" t="s">
        <v>639</v>
      </c>
      <c r="E50" s="267" t="s">
        <v>168</v>
      </c>
      <c r="F50" s="194" t="s">
        <v>358</v>
      </c>
      <c r="G50" s="194" t="s">
        <v>168</v>
      </c>
      <c r="H50" s="194" t="s">
        <v>329</v>
      </c>
      <c r="I50" s="195" t="s">
        <v>187</v>
      </c>
      <c r="J50" s="195">
        <v>7</v>
      </c>
      <c r="K50" s="187"/>
      <c r="L50" s="182">
        <f>IF(AND(E50="M",Tabla735[[#This Row],[POS]]&lt;&gt;"AB",Tabla735[[#This Row],[POS]]&lt;&gt;"DSQ"),COUNTIF($E$50:E50,"M"),"")</f>
        <v>1</v>
      </c>
      <c r="M50" s="182">
        <f>IF(E50="M",IF(Tabla735[[#This Row],[Tiempo]]="AB","",LOOKUP(Tabla735[[#This Row],[CLAS SCRATCH]],'Datos puntos'!$A$2:$A$23,'Datos puntos'!$B$2:$B$23)),"")</f>
        <v>25</v>
      </c>
      <c r="N50" s="182">
        <f>Tabla735[[#This Row],[CLAS SCRATCH]]</f>
        <v>1</v>
      </c>
      <c r="O50" s="182">
        <f>IF(E50="M",IF(Tabla735[[#This Row],[Tiempo]]="AB","",LOOKUP(Tabla735[[#This Row],[CLAS CLASE]],'Datos puntos'!$A$25:$A$53,'Datos puntos'!$B$25:$B$53)),"")</f>
        <v>10</v>
      </c>
      <c r="P50" s="182">
        <f>IF(Tabla735[[#This Row],[Puntos scratch]]="","NO PUNTÚA",SUM(Tabla735[[#This Row],[Puntos scratch]],Tabla735[[#This Row],[Puntos clase]]))</f>
        <v>35</v>
      </c>
      <c r="Q50" s="182">
        <f>IF(AND(G50="M",Tabla735[[#This Row],[POS]]&lt;&gt;"AB",Tabla735[[#This Row],[POS]]&lt;&gt;"DSQ"),COUNTIF($G$50:G50,"M"),"")</f>
        <v>1</v>
      </c>
      <c r="R50" s="182">
        <f>IF(G50="M",IF(Tabla735[[#This Row],[Tiempo]]="AB","",LOOKUP(Tabla735[[#This Row],[CLAS SCRATCH2]],'Datos puntos'!$A$2:$A$23,'Datos puntos'!$B$2:$B$23)),"")</f>
        <v>25</v>
      </c>
      <c r="S50" s="182">
        <f>Tabla735[[#This Row],[CLAS SCRATCH2]]</f>
        <v>1</v>
      </c>
      <c r="T50" s="182">
        <f>IF(G50="M",IF(Tabla735[[#This Row],[Tiempo]]="AB","",LOOKUP(Tabla735[[#This Row],[CLAS CLASE2]],'Datos puntos'!$A$25:$A$53,'Datos puntos'!$B$25:$B$53)),"")</f>
        <v>10</v>
      </c>
      <c r="U50" s="182">
        <f>IF(Tabla735[[#This Row],[Puntos scratch3]]="","NO PUNTÚA",SUM(Tabla735[[#This Row],[Puntos scratch3]],Tabla735[[#This Row],[Puntos clase5]]))</f>
        <v>35</v>
      </c>
    </row>
    <row r="51" spans="1:24" x14ac:dyDescent="0.35">
      <c r="A51" s="193">
        <v>2</v>
      </c>
      <c r="B51" s="193">
        <v>35</v>
      </c>
      <c r="C51" s="194" t="s">
        <v>640</v>
      </c>
      <c r="D51" s="206" t="s">
        <v>655</v>
      </c>
      <c r="E51" s="234" t="s">
        <v>168</v>
      </c>
      <c r="F51" s="194" t="s">
        <v>360</v>
      </c>
      <c r="G51" s="194" t="s">
        <v>168</v>
      </c>
      <c r="H51" s="194" t="s">
        <v>266</v>
      </c>
      <c r="I51" s="195" t="s">
        <v>187</v>
      </c>
      <c r="J51" s="195">
        <v>7</v>
      </c>
      <c r="K51" s="187"/>
      <c r="L51" s="182">
        <f>IF(AND(E51="M",Tabla735[[#This Row],[POS]]&lt;&gt;"AB",Tabla735[[#This Row],[POS]]&lt;&gt;"DSQ"),COUNTIF($E$50:E51,"M"),"")</f>
        <v>2</v>
      </c>
      <c r="M51" s="182">
        <f>IF(E51="M",IF(Tabla735[[#This Row],[Tiempo]]="AB","",LOOKUP(Tabla735[[#This Row],[CLAS SCRATCH]],'Datos puntos'!$A$2:$A$23,'Datos puntos'!$B$2:$B$23)),"")</f>
        <v>20</v>
      </c>
      <c r="N51" s="182">
        <f>Tabla735[[#This Row],[CLAS SCRATCH]]</f>
        <v>2</v>
      </c>
      <c r="O51" s="182">
        <f>IF(E51="M",IF(Tabla735[[#This Row],[Tiempo]]="AB","",LOOKUP(Tabla735[[#This Row],[CLAS CLASE]],'Datos puntos'!$A$25:$A$53,'Datos puntos'!$B$25:$B$53)),"")</f>
        <v>8</v>
      </c>
      <c r="P51" s="182">
        <f>IF(Tabla735[[#This Row],[Puntos scratch]]="","NO PUNTÚA",SUM(Tabla735[[#This Row],[Puntos scratch]],Tabla735[[#This Row],[Puntos clase]]))</f>
        <v>28</v>
      </c>
      <c r="Q51" s="182">
        <f>IF(AND(G51="M",Tabla735[[#This Row],[POS]]&lt;&gt;"AB",Tabla735[[#This Row],[POS]]&lt;&gt;"DSQ"),COUNTIF($G$50:G51,"M"),"")</f>
        <v>2</v>
      </c>
      <c r="R51" s="182">
        <f>IF(G51="M",IF(Tabla735[[#This Row],[Tiempo]]="AB","",LOOKUP(Tabla735[[#This Row],[CLAS SCRATCH2]],'Datos puntos'!$A$2:$A$23,'Datos puntos'!$B$2:$B$23)),"")</f>
        <v>20</v>
      </c>
      <c r="S51" s="182">
        <f>Tabla735[[#This Row],[CLAS SCRATCH2]]</f>
        <v>2</v>
      </c>
      <c r="T51" s="182">
        <f>IF(G51="M",IF(Tabla735[[#This Row],[Tiempo]]="AB","",LOOKUP(Tabla735[[#This Row],[CLAS CLASE2]],'Datos puntos'!$A$25:$A$53,'Datos puntos'!$B$25:$B$53)),"")</f>
        <v>8</v>
      </c>
      <c r="U51" s="182">
        <f>IF(Tabla735[[#This Row],[Puntos scratch3]]="","NO PUNTÚA",SUM(Tabla735[[#This Row],[Puntos scratch3]],Tabla735[[#This Row],[Puntos clase5]]))</f>
        <v>28</v>
      </c>
    </row>
    <row r="52" spans="1:24" x14ac:dyDescent="0.35">
      <c r="A52" s="193">
        <v>3</v>
      </c>
      <c r="B52" s="193">
        <v>37</v>
      </c>
      <c r="C52" s="245" t="s">
        <v>172</v>
      </c>
      <c r="D52" s="206" t="s">
        <v>644</v>
      </c>
      <c r="E52" s="194" t="s">
        <v>168</v>
      </c>
      <c r="F52" s="194" t="s">
        <v>645</v>
      </c>
      <c r="G52" s="194" t="s">
        <v>168</v>
      </c>
      <c r="H52" s="194" t="s">
        <v>336</v>
      </c>
      <c r="I52" s="195" t="s">
        <v>187</v>
      </c>
      <c r="J52" s="195">
        <v>7</v>
      </c>
      <c r="K52" s="187"/>
      <c r="L52" s="182">
        <f>IF(AND(E52="M",Tabla735[[#This Row],[POS]]&lt;&gt;"AB",Tabla735[[#This Row],[POS]]&lt;&gt;"DSQ"),COUNTIF($E$50:E52,"M"),"")</f>
        <v>3</v>
      </c>
      <c r="M52" s="182">
        <f>IF(E52="M",IF(Tabla735[[#This Row],[Tiempo]]="AB","",LOOKUP(Tabla735[[#This Row],[CLAS SCRATCH]],'Datos puntos'!$A$2:$A$23,'Datos puntos'!$B$2:$B$23)),"")</f>
        <v>17</v>
      </c>
      <c r="N52" s="182">
        <f>Tabla735[[#This Row],[CLAS SCRATCH]]</f>
        <v>3</v>
      </c>
      <c r="O52" s="182">
        <f>IF(E52="M",IF(Tabla735[[#This Row],[Tiempo]]="AB","",LOOKUP(Tabla735[[#This Row],[CLAS CLASE]],'Datos puntos'!$A$25:$A$53,'Datos puntos'!$B$25:$B$53)),"")</f>
        <v>6</v>
      </c>
      <c r="P52" s="182">
        <f>IF(Tabla735[[#This Row],[Puntos scratch]]="","NO PUNTÚA",SUM(Tabla735[[#This Row],[Puntos scratch]],Tabla735[[#This Row],[Puntos clase]]))</f>
        <v>23</v>
      </c>
      <c r="Q52" s="182">
        <f>IF(AND(G52="M",Tabla735[[#This Row],[POS]]&lt;&gt;"AB",Tabla735[[#This Row],[POS]]&lt;&gt;"DSQ"),COUNTIF($G$50:G52,"M"),"")</f>
        <v>3</v>
      </c>
      <c r="R52" s="182">
        <f>IF(G52="M",IF(Tabla735[[#This Row],[Tiempo]]="AB","",LOOKUP(Tabla735[[#This Row],[CLAS SCRATCH2]],'Datos puntos'!$A$2:$A$23,'Datos puntos'!$B$2:$B$23)),"")</f>
        <v>17</v>
      </c>
      <c r="S52" s="182">
        <f>Tabla735[[#This Row],[CLAS SCRATCH2]]</f>
        <v>3</v>
      </c>
      <c r="T52" s="182">
        <f>IF(G52="M",IF(Tabla735[[#This Row],[Tiempo]]="AB","",LOOKUP(Tabla735[[#This Row],[CLAS CLASE2]],'Datos puntos'!$A$25:$A$53,'Datos puntos'!$B$25:$B$53)),"")</f>
        <v>6</v>
      </c>
      <c r="U52" s="182">
        <f>IF(Tabla735[[#This Row],[Puntos scratch3]]="","NO PUNTÚA",SUM(Tabla735[[#This Row],[Puntos scratch3]],Tabla735[[#This Row],[Puntos clase5]]))</f>
        <v>23</v>
      </c>
    </row>
    <row r="53" spans="1:24" x14ac:dyDescent="0.35">
      <c r="A53" s="193" t="s">
        <v>179</v>
      </c>
      <c r="B53" s="193">
        <v>36</v>
      </c>
      <c r="C53" s="472" t="s">
        <v>588</v>
      </c>
      <c r="D53" s="206" t="s">
        <v>642</v>
      </c>
      <c r="E53" s="194" t="s">
        <v>168</v>
      </c>
      <c r="F53" s="194" t="s">
        <v>426</v>
      </c>
      <c r="G53" s="194" t="s">
        <v>168</v>
      </c>
      <c r="H53" s="194" t="s">
        <v>392</v>
      </c>
      <c r="I53" s="195" t="s">
        <v>187</v>
      </c>
      <c r="J53" s="195">
        <v>7</v>
      </c>
      <c r="K53" s="187" t="s">
        <v>179</v>
      </c>
      <c r="L53" s="182" t="str">
        <f>IF(AND(E53="M",Tabla735[[#This Row],[POS]]&lt;&gt;"AB",Tabla735[[#This Row],[POS]]&lt;&gt;"DSQ"),COUNTIF($E$50:E53,"M"),"")</f>
        <v/>
      </c>
      <c r="M53" s="182" t="str">
        <f>IF(E53="M",IF(Tabla735[[#This Row],[Tiempo]]="AB","",LOOKUP(Tabla735[[#This Row],[CLAS SCRATCH]],'Datos puntos'!$A$2:$A$23,'Datos puntos'!$B$2:$B$23)),"")</f>
        <v/>
      </c>
      <c r="N53" s="182" t="str">
        <f>Tabla735[[#This Row],[CLAS SCRATCH]]</f>
        <v/>
      </c>
      <c r="O53" s="182" t="str">
        <f>IF(E53="M",IF(Tabla735[[#This Row],[Tiempo]]="AB","",LOOKUP(Tabla735[[#This Row],[CLAS CLASE]],'Datos puntos'!$A$25:$A$53,'Datos puntos'!$B$25:$B$53)),"")</f>
        <v/>
      </c>
      <c r="P53" s="182" t="str">
        <f>IF(Tabla735[[#This Row],[Puntos scratch]]="","NO PUNTÚA",SUM(Tabla735[[#This Row],[Puntos scratch]],Tabla735[[#This Row],[Puntos clase]]))</f>
        <v>NO PUNTÚA</v>
      </c>
      <c r="Q53" s="182" t="str">
        <f>IF(AND(G53="M",Tabla735[[#This Row],[POS]]&lt;&gt;"AB",Tabla735[[#This Row],[POS]]&lt;&gt;"DSQ"),COUNTIF($G$50:G53,"M"),"")</f>
        <v/>
      </c>
      <c r="R53" s="182" t="str">
        <f>IF(G53="M",IF(Tabla735[[#This Row],[Tiempo]]="AB","",LOOKUP(Tabla735[[#This Row],[CLAS SCRATCH2]],'Datos puntos'!$A$2:$A$23,'Datos puntos'!$B$2:$B$23)),"")</f>
        <v/>
      </c>
      <c r="S53" s="182" t="str">
        <f>Tabla735[[#This Row],[CLAS SCRATCH2]]</f>
        <v/>
      </c>
      <c r="T53" s="182" t="str">
        <f>IF(G53="M",IF(Tabla735[[#This Row],[Tiempo]]="AB","",LOOKUP(Tabla735[[#This Row],[CLAS CLASE2]],'Datos puntos'!$A$25:$A$53,'Datos puntos'!$B$25:$B$53)),"")</f>
        <v/>
      </c>
      <c r="U53" s="182" t="str">
        <f>IF(Tabla735[[#This Row],[Puntos scratch3]]="","NO PUNTÚA",SUM(Tabla735[[#This Row],[Puntos scratch3]],Tabla735[[#This Row],[Puntos clase5]]))</f>
        <v>NO PUNTÚA</v>
      </c>
    </row>
    <row r="54" spans="1:24" x14ac:dyDescent="0.35">
      <c r="A54" s="193"/>
      <c r="B54" s="193"/>
      <c r="C54" s="194"/>
      <c r="D54" s="206"/>
      <c r="E54" s="194"/>
      <c r="F54" s="194"/>
      <c r="G54" s="194"/>
      <c r="H54" s="194"/>
      <c r="I54" s="195"/>
      <c r="J54" s="195"/>
      <c r="K54" s="187"/>
      <c r="L54" s="182" t="str">
        <f>IF(AND(E54="M",Tabla735[[#This Row],[POS]]&lt;&gt;"AB",Tabla735[[#This Row],[POS]]&lt;&gt;"DSQ"),COUNTIF($E$50:E54,"M"),"")</f>
        <v/>
      </c>
      <c r="M54" s="182" t="str">
        <f>IF(E54="M",IF(Tabla735[[#This Row],[Tiempo]]="AB","",LOOKUP(Tabla735[[#This Row],[CLAS SCRATCH]],'Datos puntos'!$A$2:$A$23,'Datos puntos'!$B$2:$B$23)),"")</f>
        <v/>
      </c>
      <c r="N54" s="182" t="str">
        <f>Tabla735[[#This Row],[CLAS SCRATCH]]</f>
        <v/>
      </c>
      <c r="O54" s="182" t="str">
        <f>IF(E54="M",IF(Tabla735[[#This Row],[Tiempo]]="AB","",LOOKUP(Tabla735[[#This Row],[CLAS CLASE]],'Datos puntos'!$A$25:$A$53,'Datos puntos'!$B$25:$B$53)),"")</f>
        <v/>
      </c>
      <c r="P54" s="182" t="str">
        <f>IF(Tabla735[[#This Row],[Puntos scratch]]="","NO PUNTÚA",SUM(Tabla735[[#This Row],[Puntos scratch]],Tabla735[[#This Row],[Puntos clase]]))</f>
        <v>NO PUNTÚA</v>
      </c>
      <c r="Q54" s="182" t="str">
        <f>IF(AND(G54="M",Tabla735[[#This Row],[POS]]&lt;&gt;"AB",Tabla735[[#This Row],[POS]]&lt;&gt;"DSQ"),COUNTIF($G$50:G54,"M"),"")</f>
        <v/>
      </c>
      <c r="R54" s="182" t="str">
        <f>IF(G54="M",IF(Tabla735[[#This Row],[Tiempo]]="AB","",LOOKUP(Tabla735[[#This Row],[CLAS SCRATCH2]],'Datos puntos'!$A$2:$A$23,'Datos puntos'!$B$2:$B$23)),"")</f>
        <v/>
      </c>
      <c r="S54" s="182" t="str">
        <f>Tabla735[[#This Row],[CLAS SCRATCH2]]</f>
        <v/>
      </c>
      <c r="T54" s="182" t="str">
        <f>IF(G54="M",IF(Tabla735[[#This Row],[Tiempo]]="AB","",LOOKUP(Tabla735[[#This Row],[CLAS CLASE2]],'Datos puntos'!$A$25:$A$53,'Datos puntos'!$B$25:$B$53)),"")</f>
        <v/>
      </c>
      <c r="U54" s="182" t="str">
        <f>IF(Tabla735[[#This Row],[Puntos scratch3]]="","NO PUNTÚA",SUM(Tabla735[[#This Row],[Puntos scratch3]],Tabla735[[#This Row],[Puntos clase5]]))</f>
        <v>NO PUNTÚA</v>
      </c>
      <c r="V54" s="182"/>
      <c r="W54" s="182"/>
      <c r="X54" s="182"/>
    </row>
    <row r="55" spans="1:24" x14ac:dyDescent="0.35">
      <c r="A55" s="193"/>
      <c r="B55" s="193"/>
      <c r="C55" s="194"/>
      <c r="D55" s="194"/>
      <c r="E55" s="194"/>
      <c r="F55" s="194"/>
      <c r="G55" s="194"/>
      <c r="H55" s="194"/>
      <c r="I55" s="195"/>
      <c r="J55" s="195"/>
      <c r="K55" s="187"/>
      <c r="L55" s="270" t="str">
        <f>IF(AND(E55="M",Tabla735[[#This Row],[POS]]&lt;&gt;"AB",Tabla735[[#This Row],[POS]]&lt;&gt;"DSQ"),COUNTIF($E$50:E55,"M"),"")</f>
        <v/>
      </c>
      <c r="M55" s="182" t="str">
        <f>IF(E55="M",IF(Tabla735[[#This Row],[Tiempo]]="AB","",LOOKUP(Tabla735[[#This Row],[CLAS SCRATCH]],'Datos puntos'!$A$2:$A$23,'Datos puntos'!$B$2:$B$23)),"")</f>
        <v/>
      </c>
      <c r="N55" s="182" t="str">
        <f>Tabla735[[#This Row],[CLAS SCRATCH]]</f>
        <v/>
      </c>
      <c r="O55" s="182" t="str">
        <f>IF(E55="M",IF(Tabla735[[#This Row],[Tiempo]]="AB","",LOOKUP(Tabla735[[#This Row],[CLAS CLASE]],'Datos puntos'!$A$25:$A$53,'Datos puntos'!$B$25:$B$53)),"")</f>
        <v/>
      </c>
      <c r="P55" s="182" t="str">
        <f>IF(Tabla735[[#This Row],[Puntos scratch]]="","NO PUNTÚA",SUM(Tabla735[[#This Row],[Puntos scratch]],Tabla735[[#This Row],[Puntos clase]]))</f>
        <v>NO PUNTÚA</v>
      </c>
      <c r="Q55" s="270" t="str">
        <f>IF(AND(G55="M",Tabla735[[#This Row],[POS]]&lt;&gt;"AB",Tabla735[[#This Row],[POS]]&lt;&gt;"DSQ"),COUNTIF($G$50:G55,"M"),"")</f>
        <v/>
      </c>
      <c r="R55" s="182" t="str">
        <f>IF(G55="M",IF(Tabla735[[#This Row],[Tiempo]]="AB","",LOOKUP(Tabla735[[#This Row],[CLAS SCRATCH2]],'Datos puntos'!$A$2:$A$23,'Datos puntos'!$B$2:$B$23)),"")</f>
        <v/>
      </c>
      <c r="S55" s="182" t="str">
        <f>Tabla735[[#This Row],[CLAS SCRATCH2]]</f>
        <v/>
      </c>
      <c r="T55" s="182" t="str">
        <f>IF(G55="M",IF(Tabla735[[#This Row],[Tiempo]]="AB","",LOOKUP(Tabla735[[#This Row],[CLAS CLASE2]],'Datos puntos'!$A$25:$A$53,'Datos puntos'!$B$25:$B$53)),"")</f>
        <v/>
      </c>
      <c r="U55" s="182" t="str">
        <f>IF(Tabla735[[#This Row],[Puntos scratch3]]="","NO PUNTÚA",SUM(Tabla735[[#This Row],[Puntos scratch3]],Tabla735[[#This Row],[Puntos clase5]]))</f>
        <v>NO PUNTÚA</v>
      </c>
    </row>
    <row r="56" spans="1:24" ht="15.5" x14ac:dyDescent="0.35">
      <c r="A56" s="174" t="s">
        <v>260</v>
      </c>
      <c r="B56" s="174"/>
      <c r="C56" s="174"/>
      <c r="D56" s="174"/>
      <c r="E56" s="174"/>
      <c r="F56" s="174"/>
      <c r="G56" s="174"/>
      <c r="H56" s="174"/>
      <c r="I56" s="174"/>
      <c r="J56" s="174"/>
      <c r="K56" s="174"/>
      <c r="L56" s="175"/>
      <c r="M56" s="175"/>
      <c r="N56" s="174" t="s">
        <v>1</v>
      </c>
      <c r="O56" s="174"/>
      <c r="P56" s="199"/>
      <c r="Q56" s="199"/>
      <c r="R56" s="199"/>
      <c r="S56" s="176" t="s">
        <v>166</v>
      </c>
      <c r="T56" s="202"/>
      <c r="U56" s="199"/>
      <c r="V56" s="199"/>
      <c r="W56" s="199"/>
      <c r="X56" s="199"/>
    </row>
    <row r="57" spans="1:24" x14ac:dyDescent="0.35">
      <c r="A57" s="213" t="s">
        <v>190</v>
      </c>
      <c r="B57" s="186" t="s">
        <v>191</v>
      </c>
      <c r="C57" s="186" t="s">
        <v>192</v>
      </c>
      <c r="D57" s="186" t="s">
        <v>193</v>
      </c>
      <c r="E57" s="186" t="s">
        <v>194</v>
      </c>
      <c r="F57" s="186" t="s">
        <v>195</v>
      </c>
      <c r="G57" s="186" t="s">
        <v>196</v>
      </c>
      <c r="H57" s="186" t="s">
        <v>197</v>
      </c>
      <c r="I57" s="186" t="s">
        <v>198</v>
      </c>
      <c r="J57" s="186" t="s">
        <v>2</v>
      </c>
      <c r="K57" s="213" t="s">
        <v>199</v>
      </c>
      <c r="L57" s="214" t="s">
        <v>214</v>
      </c>
      <c r="M57" s="214" t="s">
        <v>217</v>
      </c>
      <c r="N57" s="214" t="s">
        <v>254</v>
      </c>
      <c r="O57" s="214" t="s">
        <v>218</v>
      </c>
      <c r="P57" s="214" t="s">
        <v>219</v>
      </c>
      <c r="Q57" s="215" t="s">
        <v>228</v>
      </c>
      <c r="R57" s="215" t="s">
        <v>229</v>
      </c>
      <c r="S57" s="215" t="s">
        <v>255</v>
      </c>
      <c r="T57" s="215" t="s">
        <v>230</v>
      </c>
      <c r="U57" s="215" t="s">
        <v>231</v>
      </c>
    </row>
    <row r="58" spans="1:24" x14ac:dyDescent="0.35">
      <c r="A58" s="188">
        <v>1</v>
      </c>
      <c r="B58" s="176">
        <v>38</v>
      </c>
      <c r="C58" s="179" t="s">
        <v>647</v>
      </c>
      <c r="D58" s="179" t="s">
        <v>647</v>
      </c>
      <c r="E58" s="179" t="s">
        <v>168</v>
      </c>
      <c r="F58" s="179" t="s">
        <v>648</v>
      </c>
      <c r="G58" s="179" t="s">
        <v>168</v>
      </c>
      <c r="H58" s="179" t="s">
        <v>269</v>
      </c>
      <c r="I58" s="180" t="s">
        <v>202</v>
      </c>
      <c r="J58" s="180">
        <v>8</v>
      </c>
      <c r="K58" s="187"/>
      <c r="L58" s="183">
        <f>IF(AND(E58="M",Tabla233[[#This Row],[POS]]&lt;&gt;"AB",Tabla233[[#This Row],[POS]]&lt;&gt;"DSQ"),COUNTIF($E$58:E58,"M"),"")</f>
        <v>1</v>
      </c>
      <c r="M58" s="183">
        <f>IF(E58="M",IF(Tabla233[[#This Row],[Tiempo]]="AB","",LOOKUP(Tabla233[[#This Row],[CLAS SCRATCH]],'Datos puntos'!$A$2:$A$23,'Datos puntos'!$B$2:$B$23)),"")</f>
        <v>25</v>
      </c>
      <c r="N58" s="182">
        <f>Tabla233[[#This Row],[CLAS SCRATCH]]</f>
        <v>1</v>
      </c>
      <c r="O58" s="183">
        <f>IF(E58="M",IF(Tabla233[[#This Row],[Tiempo]]="AB","",LOOKUP(Tabla233[[#This Row],[CLAS CLASE]],'Datos puntos'!$A$25:$A$53,'Datos puntos'!$B$25:$B$53)),"")</f>
        <v>10</v>
      </c>
      <c r="P58" s="183">
        <f>IF(Tabla233[[#This Row],[Puntos scratch]]="","NO PUNTÚA",SUM(Tabla233[[#This Row],[Puntos scratch]],Tabla233[[#This Row],[Puntos clase]]))</f>
        <v>35</v>
      </c>
      <c r="Q58" s="183">
        <f>IF(AND(G58="M",Tabla233[[#This Row],[POS]]&lt;&gt;"AB",Tabla233[[#This Row],[POS]]&lt;&gt;"DSQ"),COUNTIF($G$58:G58,"M"),"")</f>
        <v>1</v>
      </c>
      <c r="R58" s="183">
        <f>IF(G58="M",IF(Tabla233[[#This Row],[Tiempo]]="AB","",LOOKUP(Tabla233[[#This Row],[CLAS SCRATCH2]],'Datos puntos'!$A$2:$A$23,'Datos puntos'!$B$2:$B$23)),"")</f>
        <v>25</v>
      </c>
      <c r="S58" s="183">
        <f>Tabla233[[#This Row],[CLAS SCRATCH]]</f>
        <v>1</v>
      </c>
      <c r="T58" s="183">
        <f>IF(G58="M",IF(Tabla233[[#This Row],[Tiempo]]="AB","",LOOKUP(Tabla233[[#This Row],[CLAS CLASE2]],'Datos puntos'!$A$25:$A$53,'Datos puntos'!$B$25:$B$53)),"")</f>
        <v>10</v>
      </c>
      <c r="U58" s="183">
        <f>IF(Tabla233[[#This Row],[Puntos scratch]]="","NO PUNTÚA",SUM(Tabla233[[#This Row],[Puntos scratch]],Tabla233[[#This Row],[Puntos clase]]))</f>
        <v>35</v>
      </c>
    </row>
    <row r="59" spans="1:24" x14ac:dyDescent="0.35">
      <c r="A59" s="193"/>
      <c r="B59" s="176"/>
      <c r="C59" s="179"/>
      <c r="D59" s="179"/>
      <c r="E59" s="179"/>
      <c r="F59" s="179"/>
      <c r="G59" s="179"/>
      <c r="H59" s="179"/>
      <c r="I59" s="180"/>
      <c r="J59" s="180"/>
      <c r="K59" s="187"/>
      <c r="L59" s="183" t="str">
        <f>IF(AND(E59="M",Tabla233[[#This Row],[POS]]&lt;&gt;"AB",Tabla233[[#This Row],[POS]]&lt;&gt;"DSQ"),COUNTIF($E$58:E59,"M"),"")</f>
        <v/>
      </c>
      <c r="M59" s="183" t="str">
        <f>IF(E59="M",IF(Tabla233[[#This Row],[Tiempo]]="AB","",LOOKUP(Tabla233[[#This Row],[CLAS SCRATCH]],'Datos puntos'!$A$2:$A$23,'Datos puntos'!$B$2:$B$23)),"")</f>
        <v/>
      </c>
      <c r="N59" s="183" t="str">
        <f>Tabla233[[#This Row],[CLAS SCRATCH]]</f>
        <v/>
      </c>
      <c r="O59" s="183" t="str">
        <f>IF(E59="M",IF(Tabla233[[#This Row],[Tiempo]]="AB","",LOOKUP(Tabla233[[#This Row],[CLAS CLASE]],'Datos puntos'!$A$25:$A$53,'Datos puntos'!$B$25:$B$53)),"")</f>
        <v/>
      </c>
      <c r="P59" s="183" t="str">
        <f>IF(Tabla233[[#This Row],[Puntos scratch]]="","NO PUNTÚA",SUM(Tabla233[[#This Row],[Puntos scratch]],Tabla233[[#This Row],[Puntos clase]]))</f>
        <v>NO PUNTÚA</v>
      </c>
      <c r="Q59" s="183" t="str">
        <f>IF(AND(G59="M",Tabla233[[#This Row],[POS]]&lt;&gt;"AB",Tabla233[[#This Row],[POS]]&lt;&gt;"DSQ"),COUNTIF($G$58:G59,"M"),"")</f>
        <v/>
      </c>
      <c r="R59" s="183" t="str">
        <f>IF(G59="M",IF(Tabla233[[#This Row],[Tiempo]]="AB","",LOOKUP(Tabla233[[#This Row],[CLAS SCRATCH2]],'Datos puntos'!$A$2:$A$23,'Datos puntos'!$B$2:$B$23)),"")</f>
        <v/>
      </c>
      <c r="S59" s="183" t="str">
        <f>Tabla233[[#This Row],[CLAS SCRATCH]]</f>
        <v/>
      </c>
      <c r="T59" s="183" t="str">
        <f>IF(G59="M",IF(Tabla233[[#This Row],[Tiempo]]="AB","",LOOKUP(Tabla233[[#This Row],[CLAS CLASE2]],'Datos puntos'!$A$25:$A$53,'Datos puntos'!$B$25:$B$53)),"")</f>
        <v/>
      </c>
      <c r="U59" s="183" t="str">
        <f>IF(Tabla233[[#This Row],[Puntos scratch]]="","NO PUNTÚA",SUM(Tabla233[[#This Row],[Puntos scratch]],Tabla233[[#This Row],[Puntos clase]]))</f>
        <v>NO PUNTÚA</v>
      </c>
    </row>
    <row r="60" spans="1:24" x14ac:dyDescent="0.35">
      <c r="A60" s="188"/>
      <c r="B60" s="176"/>
      <c r="C60" s="179"/>
      <c r="D60" s="179"/>
      <c r="E60" s="179"/>
      <c r="F60" s="179"/>
      <c r="G60" s="179"/>
      <c r="H60" s="179"/>
      <c r="I60" s="180"/>
      <c r="J60" s="180"/>
      <c r="K60" s="187"/>
      <c r="L60" s="183" t="str">
        <f>IF(AND(E60="M",Tabla233[[#This Row],[POS]]&lt;&gt;"AB",Tabla233[[#This Row],[POS]]&lt;&gt;"DSQ"),COUNTIF($E$58:E60,"M"),"")</f>
        <v/>
      </c>
      <c r="M60" s="183" t="str">
        <f>IF(E60="M",IF(Tabla233[[#This Row],[Tiempo]]="AB","",LOOKUP(Tabla233[[#This Row],[CLAS SCRATCH]],'Datos puntos'!$A$2:$A$23,'Datos puntos'!$B$2:$B$23)),"")</f>
        <v/>
      </c>
      <c r="N60" s="183" t="str">
        <f>Tabla233[[#This Row],[CLAS SCRATCH]]</f>
        <v/>
      </c>
      <c r="O60" s="183" t="str">
        <f>IF(E60="M",IF(Tabla233[[#This Row],[Tiempo]]="AB","",LOOKUP(Tabla233[[#This Row],[CLAS CLASE]],'Datos puntos'!$A$25:$A$53,'Datos puntos'!$B$25:$B$53)),"")</f>
        <v/>
      </c>
      <c r="P60" s="183" t="str">
        <f>IF(Tabla233[[#This Row],[Puntos scratch]]="","NO PUNTÚA",SUM(Tabla233[[#This Row],[Puntos scratch]],Tabla233[[#This Row],[Puntos clase]]))</f>
        <v>NO PUNTÚA</v>
      </c>
      <c r="Q60" s="183" t="str">
        <f>IF(AND(G60="M",Tabla233[[#This Row],[POS]]&lt;&gt;"AB",Tabla233[[#This Row],[POS]]&lt;&gt;"DSQ"),COUNTIF($G$58:G60,"M"),"")</f>
        <v/>
      </c>
      <c r="R60" s="183" t="str">
        <f>IF(G60="M",IF(Tabla233[[#This Row],[Tiempo]]="AB","",LOOKUP(Tabla233[[#This Row],[CLAS SCRATCH2]],'Datos puntos'!$A$2:$A$23,'Datos puntos'!$B$2:$B$23)),"")</f>
        <v/>
      </c>
      <c r="S60" s="183" t="str">
        <f>Tabla233[[#This Row],[CLAS SCRATCH]]</f>
        <v/>
      </c>
      <c r="T60" s="183" t="str">
        <f>IF(G60="M",IF(Tabla233[[#This Row],[Tiempo]]="AB","",LOOKUP(Tabla233[[#This Row],[CLAS CLASE2]],'Datos puntos'!$A$25:$A$53,'Datos puntos'!$B$25:$B$53)),"")</f>
        <v/>
      </c>
      <c r="U60" s="183" t="str">
        <f>IF(Tabla233[[#This Row],[Puntos scratch]]="","NO PUNTÚA",SUM(Tabla233[[#This Row],[Puntos scratch]],Tabla233[[#This Row],[Puntos clase]]))</f>
        <v>NO PUNTÚA</v>
      </c>
    </row>
    <row r="61" spans="1:24" x14ac:dyDescent="0.35">
      <c r="A61" s="193"/>
      <c r="B61" s="176"/>
      <c r="C61" s="179"/>
      <c r="D61" s="179"/>
      <c r="E61" s="179"/>
      <c r="F61" s="179"/>
      <c r="G61" s="179"/>
      <c r="H61" s="179"/>
      <c r="I61" s="180"/>
      <c r="J61" s="180"/>
      <c r="K61" s="187"/>
      <c r="L61" s="183" t="str">
        <f>IF(AND(E61="M",Tabla233[[#This Row],[POS]]&lt;&gt;"AB",Tabla233[[#This Row],[POS]]&lt;&gt;"DSQ"),COUNTIF($E$58:E61,"M"),"")</f>
        <v/>
      </c>
      <c r="M61" s="183" t="str">
        <f>IF(E61="M",IF(Tabla233[[#This Row],[Tiempo]]="AB","",LOOKUP(Tabla233[[#This Row],[CLAS SCRATCH]],'Datos puntos'!$A$2:$A$23,'Datos puntos'!$B$2:$B$23)),"")</f>
        <v/>
      </c>
      <c r="N61" s="183" t="str">
        <f>Tabla233[[#This Row],[CLAS SCRATCH]]</f>
        <v/>
      </c>
      <c r="O61" s="183" t="str">
        <f>IF(E61="M",IF(Tabla233[[#This Row],[Tiempo]]="AB","",LOOKUP(Tabla233[[#This Row],[CLAS CLASE]],'Datos puntos'!$A$25:$A$53,'Datos puntos'!$B$25:$B$53)),"")</f>
        <v/>
      </c>
      <c r="P61" s="183" t="str">
        <f>IF(Tabla233[[#This Row],[Puntos scratch]]="","NO PUNTÚA",SUM(Tabla233[[#This Row],[Puntos scratch]],Tabla233[[#This Row],[Puntos clase]]))</f>
        <v>NO PUNTÚA</v>
      </c>
      <c r="Q61" s="183" t="str">
        <f>IF(AND(G61="M",Tabla233[[#This Row],[POS]]&lt;&gt;"AB",Tabla233[[#This Row],[POS]]&lt;&gt;"DSQ"),COUNTIF($G$58:G61,"M"),"")</f>
        <v/>
      </c>
      <c r="R61" s="183" t="str">
        <f>IF(G61="M",IF(Tabla233[[#This Row],[Tiempo]]="AB","",LOOKUP(Tabla233[[#This Row],[CLAS SCRATCH2]],'Datos puntos'!$A$2:$A$23,'Datos puntos'!$B$2:$B$23)),"")</f>
        <v/>
      </c>
      <c r="S61" s="183" t="str">
        <f>Tabla233[[#This Row],[CLAS SCRATCH]]</f>
        <v/>
      </c>
      <c r="T61" s="183" t="str">
        <f>IF(G61="M",IF(Tabla233[[#This Row],[Tiempo]]="AB","",LOOKUP(Tabla233[[#This Row],[CLAS CLASE2]],'Datos puntos'!$A$25:$A$53,'Datos puntos'!$B$25:$B$53)),"")</f>
        <v/>
      </c>
      <c r="U61" s="183" t="str">
        <f>IF(Tabla233[[#This Row],[Puntos scratch]]="","NO PUNTÚA",SUM(Tabla233[[#This Row],[Puntos scratch]],Tabla233[[#This Row],[Puntos clase]]))</f>
        <v>NO PUNTÚA</v>
      </c>
    </row>
    <row r="62" spans="1:24" x14ac:dyDescent="0.35">
      <c r="A62" s="193"/>
      <c r="B62" s="176"/>
      <c r="C62" s="179"/>
      <c r="D62" s="179"/>
      <c r="E62" s="179"/>
      <c r="F62" s="179"/>
      <c r="G62" s="179"/>
      <c r="H62" s="179"/>
      <c r="I62" s="180"/>
      <c r="J62" s="180"/>
      <c r="K62" s="187"/>
      <c r="L62" s="189"/>
      <c r="M62" s="189"/>
      <c r="N62" s="182"/>
      <c r="O62" s="183"/>
      <c r="P62" s="183"/>
      <c r="Q62" s="183"/>
      <c r="R62" s="183"/>
      <c r="S62" s="183"/>
      <c r="T62" s="183"/>
      <c r="U62" s="183"/>
      <c r="V62" s="183"/>
      <c r="W62" s="183"/>
      <c r="X62" s="183"/>
    </row>
    <row r="63" spans="1:24" x14ac:dyDescent="0.35">
      <c r="I63" s="172"/>
      <c r="J63" s="172"/>
      <c r="K63" s="191"/>
      <c r="L63" s="182" t="s">
        <v>345</v>
      </c>
      <c r="M63" s="192"/>
      <c r="N63" s="192"/>
      <c r="P63" s="182"/>
      <c r="Q63" s="199"/>
      <c r="R63" s="199"/>
      <c r="S63" s="199"/>
    </row>
    <row r="64" spans="1:24" x14ac:dyDescent="0.35">
      <c r="A64" s="213" t="s">
        <v>190</v>
      </c>
      <c r="B64" s="186" t="s">
        <v>191</v>
      </c>
      <c r="C64" s="186" t="s">
        <v>192</v>
      </c>
      <c r="D64" s="186" t="s">
        <v>347</v>
      </c>
      <c r="E64" s="186" t="s">
        <v>194</v>
      </c>
      <c r="F64" s="186" t="s">
        <v>197</v>
      </c>
      <c r="G64" s="186" t="s">
        <v>198</v>
      </c>
      <c r="H64" s="186" t="s">
        <v>2</v>
      </c>
      <c r="I64" s="213" t="s">
        <v>199</v>
      </c>
      <c r="J64" s="214" t="s">
        <v>214</v>
      </c>
      <c r="K64" s="214" t="s">
        <v>217</v>
      </c>
      <c r="L64" s="214" t="s">
        <v>254</v>
      </c>
      <c r="M64" s="214" t="s">
        <v>218</v>
      </c>
      <c r="N64" s="214" t="s">
        <v>219</v>
      </c>
    </row>
    <row r="65" spans="1:14" x14ac:dyDescent="0.35">
      <c r="A65" s="188">
        <v>1</v>
      </c>
      <c r="B65" s="176">
        <v>38</v>
      </c>
      <c r="C65" s="179" t="s">
        <v>646</v>
      </c>
      <c r="D65" s="179" t="s">
        <v>651</v>
      </c>
      <c r="E65" s="179" t="s">
        <v>168</v>
      </c>
      <c r="F65" s="179" t="s">
        <v>269</v>
      </c>
      <c r="G65" s="180" t="s">
        <v>202</v>
      </c>
      <c r="H65" s="180">
        <v>8</v>
      </c>
      <c r="I65" s="187"/>
      <c r="J65" s="183">
        <f>IF(AND(E65="M",Tabla2336[[#This Row],[POS]]&lt;&gt;"AB",Tabla2336[[#This Row],[POS]]&lt;&gt;"DSQ"),COUNTIF($E$65:E65,"M"),"")</f>
        <v>1</v>
      </c>
      <c r="K65" s="183">
        <f>IF(E65="M",IF(Tabla2336[[#This Row],[Tiempo]]="AB","",LOOKUP(Tabla2336[[#This Row],[CLAS SCRATCH]],'Datos puntos'!$A$2:$A$23,'Datos puntos'!$B$2:$B$23)),"")</f>
        <v>25</v>
      </c>
      <c r="L65" s="182">
        <f>Tabla2336[[#This Row],[CLAS SCRATCH]]</f>
        <v>1</v>
      </c>
      <c r="M65" s="183">
        <f>IF(E65="M",IF(Tabla2336[[#This Row],[Tiempo]]="AB","",LOOKUP(Tabla2336[[#This Row],[CLAS CLASE]],'Datos puntos'!$A$25:$A$53,'Datos puntos'!$B$25:$B$53)),"")</f>
        <v>10</v>
      </c>
      <c r="N65" s="183">
        <f>IF(Tabla2336[[#This Row],[Puntos scratch]]="","NO PUNTÚA",SUM(Tabla2336[[#This Row],[Puntos scratch]],Tabla2336[[#This Row],[Puntos clase]]))</f>
        <v>35</v>
      </c>
    </row>
    <row r="66" spans="1:14" x14ac:dyDescent="0.35">
      <c r="A66" s="193"/>
      <c r="B66" s="176"/>
      <c r="C66" s="179"/>
      <c r="D66" s="179"/>
      <c r="E66" s="179"/>
      <c r="F66" s="179"/>
      <c r="G66" s="180"/>
      <c r="H66" s="180"/>
      <c r="I66" s="187"/>
      <c r="J66" s="183" t="str">
        <f>IF(AND(E66="M",Tabla2336[[#This Row],[POS]]&lt;&gt;"AB",Tabla2336[[#This Row],[POS]]&lt;&gt;"DSQ"),COUNTIF($E$65:E66,"M"),"")</f>
        <v/>
      </c>
      <c r="K66" s="183" t="str">
        <f>IF(E66="M",IF(Tabla2336[[#This Row],[Tiempo]]="AB","",LOOKUP(Tabla2336[[#This Row],[CLAS SCRATCH]],'Datos puntos'!$A$2:$A$23,'Datos puntos'!$B$2:$B$23)),"")</f>
        <v/>
      </c>
      <c r="L66" s="183" t="str">
        <f>Tabla2336[[#This Row],[CLAS SCRATCH]]</f>
        <v/>
      </c>
      <c r="M66" s="183" t="str">
        <f>IF(E66="M",IF(Tabla2336[[#This Row],[Tiempo]]="AB","",LOOKUP(Tabla2336[[#This Row],[CLAS CLASE]],'Datos puntos'!$A$25:$A$53,'Datos puntos'!$B$25:$B$53)),"")</f>
        <v/>
      </c>
      <c r="N66" s="183" t="str">
        <f>IF(Tabla2336[[#This Row],[Puntos scratch]]="","NO PUNTÚA",SUM(Tabla2336[[#This Row],[Puntos scratch]],Tabla2336[[#This Row],[Puntos clase]])*2)</f>
        <v>NO PUNTÚA</v>
      </c>
    </row>
    <row r="67" spans="1:14" x14ac:dyDescent="0.35">
      <c r="A67" s="188"/>
      <c r="B67" s="176"/>
      <c r="C67" s="179"/>
      <c r="D67" s="179"/>
      <c r="E67" s="179"/>
      <c r="F67" s="179"/>
      <c r="G67" s="180"/>
      <c r="H67" s="180"/>
      <c r="I67" s="187"/>
      <c r="J67" s="183" t="str">
        <f>IF(AND(E67="M",Tabla2336[[#This Row],[POS]]&lt;&gt;"AB",Tabla2336[[#This Row],[POS]]&lt;&gt;"DSQ"),COUNTIF($E$65:E67,"M"),"")</f>
        <v/>
      </c>
      <c r="K67" s="183" t="str">
        <f>IF(E67="M",IF(Tabla2336[[#This Row],[Tiempo]]="AB","",LOOKUP(Tabla2336[[#This Row],[CLAS SCRATCH]],'Datos puntos'!$A$2:$A$23,'Datos puntos'!$B$2:$B$23)),"")</f>
        <v/>
      </c>
      <c r="L67" s="183" t="str">
        <f>Tabla2336[[#This Row],[CLAS SCRATCH]]</f>
        <v/>
      </c>
      <c r="M67" s="183" t="str">
        <f>IF(E67="M",IF(Tabla2336[[#This Row],[Tiempo]]="AB","",LOOKUP(Tabla2336[[#This Row],[CLAS CLASE]],'Datos puntos'!$A$25:$A$53,'Datos puntos'!$B$25:$B$53)),"")</f>
        <v/>
      </c>
      <c r="N67" s="183" t="str">
        <f>IF(Tabla2336[[#This Row],[Puntos scratch]]="","NO PUNTÚA",SUM(Tabla2336[[#This Row],[Puntos scratch]],Tabla2336[[#This Row],[Puntos clase]])*2)</f>
        <v>NO PUNTÚA</v>
      </c>
    </row>
    <row r="68" spans="1:14" x14ac:dyDescent="0.35">
      <c r="A68" s="193"/>
      <c r="B68" s="176"/>
      <c r="C68" s="179"/>
      <c r="D68" s="179"/>
      <c r="E68" s="179"/>
      <c r="F68" s="179"/>
      <c r="G68" s="180"/>
      <c r="H68" s="180"/>
      <c r="I68" s="187"/>
      <c r="J68" s="183"/>
      <c r="K68" s="183"/>
      <c r="L68" s="183"/>
      <c r="M68" s="183"/>
      <c r="N68" s="183"/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50" fitToHeight="0" orientation="landscape" r:id="rId1"/>
  <headerFooter>
    <oddHeader>&amp;R&amp;"Canaro Light"&amp;10&amp;K000000 Internal Use&amp;1#_x000D_</oddHeader>
  </headerFooter>
  <rowBreaks count="1" manualBreakCount="1">
    <brk id="62" max="14" man="1"/>
  </rowBreaks>
  <colBreaks count="1" manualBreakCount="1">
    <brk id="8" max="51" man="1"/>
  </colBreaks>
  <tableParts count="5">
    <tablePart r:id="rId2"/>
    <tablePart r:id="rId3"/>
    <tablePart r:id="rId4"/>
    <tablePart r:id="rId5"/>
    <tablePart r:id="rId6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62159-4116-49F2-8915-EC7D4CFE9881}">
  <dimension ref="A1:AA68"/>
  <sheetViews>
    <sheetView topLeftCell="A23" zoomScale="85" zoomScaleNormal="85" zoomScaleSheetLayoutView="80" zoomScalePageLayoutView="78" workbookViewId="0">
      <selection activeCell="C36" sqref="C36"/>
    </sheetView>
  </sheetViews>
  <sheetFormatPr baseColWidth="10" defaultColWidth="10.69921875" defaultRowHeight="14.5" x14ac:dyDescent="0.35"/>
  <cols>
    <col min="1" max="1" width="9" style="190" customWidth="1"/>
    <col min="2" max="2" width="6.296875" style="172" customWidth="1"/>
    <col min="3" max="3" width="36.5" style="172" bestFit="1" customWidth="1"/>
    <col min="4" max="4" width="45.5" style="172" bestFit="1" customWidth="1"/>
    <col min="5" max="5" width="8.796875" style="172" customWidth="1"/>
    <col min="6" max="6" width="47.19921875" style="172" customWidth="1"/>
    <col min="7" max="7" width="10.19921875" style="172" customWidth="1"/>
    <col min="8" max="8" width="41.796875" style="172" customWidth="1"/>
    <col min="9" max="9" width="11.19921875" style="196" customWidth="1"/>
    <col min="10" max="10" width="10.5" style="196" customWidth="1"/>
    <col min="11" max="11" width="12.796875" style="197" bestFit="1" customWidth="1"/>
    <col min="12" max="12" width="17.19921875" style="172" bestFit="1" customWidth="1"/>
    <col min="13" max="13" width="22" style="172" bestFit="1" customWidth="1"/>
    <col min="14" max="14" width="21.5" style="172" bestFit="1" customWidth="1"/>
    <col min="15" max="15" width="26" style="172" bestFit="1" customWidth="1"/>
    <col min="16" max="16" width="25" style="172" bestFit="1" customWidth="1"/>
    <col min="17" max="17" width="20.69921875" style="172" bestFit="1" customWidth="1"/>
    <col min="18" max="18" width="22.296875" style="172" bestFit="1" customWidth="1"/>
    <col min="19" max="19" width="34.796875" style="172" bestFit="1" customWidth="1"/>
    <col min="20" max="20" width="28.5" style="172" customWidth="1"/>
    <col min="21" max="21" width="23" style="172" bestFit="1" customWidth="1"/>
    <col min="22" max="22" width="19.19921875" style="172" bestFit="1" customWidth="1"/>
    <col min="23" max="23" width="21" style="172" bestFit="1" customWidth="1"/>
    <col min="24" max="24" width="32.19921875" style="172" bestFit="1" customWidth="1"/>
    <col min="25" max="25" width="10.69921875" style="172"/>
    <col min="26" max="26" width="25.69921875" style="172" bestFit="1" customWidth="1"/>
    <col min="27" max="256" width="10.69921875" style="172"/>
    <col min="257" max="257" width="9" style="172" customWidth="1"/>
    <col min="258" max="258" width="6.296875" style="172" customWidth="1"/>
    <col min="259" max="259" width="33.5" style="172" bestFit="1" customWidth="1"/>
    <col min="260" max="260" width="45.5" style="172" bestFit="1" customWidth="1"/>
    <col min="261" max="261" width="8.796875" style="172" customWidth="1"/>
    <col min="262" max="262" width="47.19921875" style="172" customWidth="1"/>
    <col min="263" max="263" width="10.19921875" style="172" customWidth="1"/>
    <col min="264" max="264" width="41.796875" style="172" customWidth="1"/>
    <col min="265" max="265" width="11.19921875" style="172" customWidth="1"/>
    <col min="266" max="266" width="10.5" style="172" customWidth="1"/>
    <col min="267" max="267" width="16" style="172" bestFit="1" customWidth="1"/>
    <col min="268" max="268" width="13.19921875" style="172" customWidth="1"/>
    <col min="269" max="269" width="11.796875" style="172" customWidth="1"/>
    <col min="270" max="270" width="9.69921875" style="172" customWidth="1"/>
    <col min="271" max="512" width="10.69921875" style="172"/>
    <col min="513" max="513" width="9" style="172" customWidth="1"/>
    <col min="514" max="514" width="6.296875" style="172" customWidth="1"/>
    <col min="515" max="515" width="33.5" style="172" bestFit="1" customWidth="1"/>
    <col min="516" max="516" width="45.5" style="172" bestFit="1" customWidth="1"/>
    <col min="517" max="517" width="8.796875" style="172" customWidth="1"/>
    <col min="518" max="518" width="47.19921875" style="172" customWidth="1"/>
    <col min="519" max="519" width="10.19921875" style="172" customWidth="1"/>
    <col min="520" max="520" width="41.796875" style="172" customWidth="1"/>
    <col min="521" max="521" width="11.19921875" style="172" customWidth="1"/>
    <col min="522" max="522" width="10.5" style="172" customWidth="1"/>
    <col min="523" max="523" width="16" style="172" bestFit="1" customWidth="1"/>
    <col min="524" max="524" width="13.19921875" style="172" customWidth="1"/>
    <col min="525" max="525" width="11.796875" style="172" customWidth="1"/>
    <col min="526" max="526" width="9.69921875" style="172" customWidth="1"/>
    <col min="527" max="768" width="10.69921875" style="172"/>
    <col min="769" max="769" width="9" style="172" customWidth="1"/>
    <col min="770" max="770" width="6.296875" style="172" customWidth="1"/>
    <col min="771" max="771" width="33.5" style="172" bestFit="1" customWidth="1"/>
    <col min="772" max="772" width="45.5" style="172" bestFit="1" customWidth="1"/>
    <col min="773" max="773" width="8.796875" style="172" customWidth="1"/>
    <col min="774" max="774" width="47.19921875" style="172" customWidth="1"/>
    <col min="775" max="775" width="10.19921875" style="172" customWidth="1"/>
    <col min="776" max="776" width="41.796875" style="172" customWidth="1"/>
    <col min="777" max="777" width="11.19921875" style="172" customWidth="1"/>
    <col min="778" max="778" width="10.5" style="172" customWidth="1"/>
    <col min="779" max="779" width="16" style="172" bestFit="1" customWidth="1"/>
    <col min="780" max="780" width="13.19921875" style="172" customWidth="1"/>
    <col min="781" max="781" width="11.796875" style="172" customWidth="1"/>
    <col min="782" max="782" width="9.69921875" style="172" customWidth="1"/>
    <col min="783" max="1024" width="10.69921875" style="172"/>
    <col min="1025" max="1025" width="9" style="172" customWidth="1"/>
    <col min="1026" max="1026" width="6.296875" style="172" customWidth="1"/>
    <col min="1027" max="1027" width="33.5" style="172" bestFit="1" customWidth="1"/>
    <col min="1028" max="1028" width="45.5" style="172" bestFit="1" customWidth="1"/>
    <col min="1029" max="1029" width="8.796875" style="172" customWidth="1"/>
    <col min="1030" max="1030" width="47.19921875" style="172" customWidth="1"/>
    <col min="1031" max="1031" width="10.19921875" style="172" customWidth="1"/>
    <col min="1032" max="1032" width="41.796875" style="172" customWidth="1"/>
    <col min="1033" max="1033" width="11.19921875" style="172" customWidth="1"/>
    <col min="1034" max="1034" width="10.5" style="172" customWidth="1"/>
    <col min="1035" max="1035" width="16" style="172" bestFit="1" customWidth="1"/>
    <col min="1036" max="1036" width="13.19921875" style="172" customWidth="1"/>
    <col min="1037" max="1037" width="11.796875" style="172" customWidth="1"/>
    <col min="1038" max="1038" width="9.69921875" style="172" customWidth="1"/>
    <col min="1039" max="1280" width="10.69921875" style="172"/>
    <col min="1281" max="1281" width="9" style="172" customWidth="1"/>
    <col min="1282" max="1282" width="6.296875" style="172" customWidth="1"/>
    <col min="1283" max="1283" width="33.5" style="172" bestFit="1" customWidth="1"/>
    <col min="1284" max="1284" width="45.5" style="172" bestFit="1" customWidth="1"/>
    <col min="1285" max="1285" width="8.796875" style="172" customWidth="1"/>
    <col min="1286" max="1286" width="47.19921875" style="172" customWidth="1"/>
    <col min="1287" max="1287" width="10.19921875" style="172" customWidth="1"/>
    <col min="1288" max="1288" width="41.796875" style="172" customWidth="1"/>
    <col min="1289" max="1289" width="11.19921875" style="172" customWidth="1"/>
    <col min="1290" max="1290" width="10.5" style="172" customWidth="1"/>
    <col min="1291" max="1291" width="16" style="172" bestFit="1" customWidth="1"/>
    <col min="1292" max="1292" width="13.19921875" style="172" customWidth="1"/>
    <col min="1293" max="1293" width="11.796875" style="172" customWidth="1"/>
    <col min="1294" max="1294" width="9.69921875" style="172" customWidth="1"/>
    <col min="1295" max="1536" width="10.69921875" style="172"/>
    <col min="1537" max="1537" width="9" style="172" customWidth="1"/>
    <col min="1538" max="1538" width="6.296875" style="172" customWidth="1"/>
    <col min="1539" max="1539" width="33.5" style="172" bestFit="1" customWidth="1"/>
    <col min="1540" max="1540" width="45.5" style="172" bestFit="1" customWidth="1"/>
    <col min="1541" max="1541" width="8.796875" style="172" customWidth="1"/>
    <col min="1542" max="1542" width="47.19921875" style="172" customWidth="1"/>
    <col min="1543" max="1543" width="10.19921875" style="172" customWidth="1"/>
    <col min="1544" max="1544" width="41.796875" style="172" customWidth="1"/>
    <col min="1545" max="1545" width="11.19921875" style="172" customWidth="1"/>
    <col min="1546" max="1546" width="10.5" style="172" customWidth="1"/>
    <col min="1547" max="1547" width="16" style="172" bestFit="1" customWidth="1"/>
    <col min="1548" max="1548" width="13.19921875" style="172" customWidth="1"/>
    <col min="1549" max="1549" width="11.796875" style="172" customWidth="1"/>
    <col min="1550" max="1550" width="9.69921875" style="172" customWidth="1"/>
    <col min="1551" max="1792" width="10.69921875" style="172"/>
    <col min="1793" max="1793" width="9" style="172" customWidth="1"/>
    <col min="1794" max="1794" width="6.296875" style="172" customWidth="1"/>
    <col min="1795" max="1795" width="33.5" style="172" bestFit="1" customWidth="1"/>
    <col min="1796" max="1796" width="45.5" style="172" bestFit="1" customWidth="1"/>
    <col min="1797" max="1797" width="8.796875" style="172" customWidth="1"/>
    <col min="1798" max="1798" width="47.19921875" style="172" customWidth="1"/>
    <col min="1799" max="1799" width="10.19921875" style="172" customWidth="1"/>
    <col min="1800" max="1800" width="41.796875" style="172" customWidth="1"/>
    <col min="1801" max="1801" width="11.19921875" style="172" customWidth="1"/>
    <col min="1802" max="1802" width="10.5" style="172" customWidth="1"/>
    <col min="1803" max="1803" width="16" style="172" bestFit="1" customWidth="1"/>
    <col min="1804" max="1804" width="13.19921875" style="172" customWidth="1"/>
    <col min="1805" max="1805" width="11.796875" style="172" customWidth="1"/>
    <col min="1806" max="1806" width="9.69921875" style="172" customWidth="1"/>
    <col min="1807" max="2048" width="10.69921875" style="172"/>
    <col min="2049" max="2049" width="9" style="172" customWidth="1"/>
    <col min="2050" max="2050" width="6.296875" style="172" customWidth="1"/>
    <col min="2051" max="2051" width="33.5" style="172" bestFit="1" customWidth="1"/>
    <col min="2052" max="2052" width="45.5" style="172" bestFit="1" customWidth="1"/>
    <col min="2053" max="2053" width="8.796875" style="172" customWidth="1"/>
    <col min="2054" max="2054" width="47.19921875" style="172" customWidth="1"/>
    <col min="2055" max="2055" width="10.19921875" style="172" customWidth="1"/>
    <col min="2056" max="2056" width="41.796875" style="172" customWidth="1"/>
    <col min="2057" max="2057" width="11.19921875" style="172" customWidth="1"/>
    <col min="2058" max="2058" width="10.5" style="172" customWidth="1"/>
    <col min="2059" max="2059" width="16" style="172" bestFit="1" customWidth="1"/>
    <col min="2060" max="2060" width="13.19921875" style="172" customWidth="1"/>
    <col min="2061" max="2061" width="11.796875" style="172" customWidth="1"/>
    <col min="2062" max="2062" width="9.69921875" style="172" customWidth="1"/>
    <col min="2063" max="2304" width="10.69921875" style="172"/>
    <col min="2305" max="2305" width="9" style="172" customWidth="1"/>
    <col min="2306" max="2306" width="6.296875" style="172" customWidth="1"/>
    <col min="2307" max="2307" width="33.5" style="172" bestFit="1" customWidth="1"/>
    <col min="2308" max="2308" width="45.5" style="172" bestFit="1" customWidth="1"/>
    <col min="2309" max="2309" width="8.796875" style="172" customWidth="1"/>
    <col min="2310" max="2310" width="47.19921875" style="172" customWidth="1"/>
    <col min="2311" max="2311" width="10.19921875" style="172" customWidth="1"/>
    <col min="2312" max="2312" width="41.796875" style="172" customWidth="1"/>
    <col min="2313" max="2313" width="11.19921875" style="172" customWidth="1"/>
    <col min="2314" max="2314" width="10.5" style="172" customWidth="1"/>
    <col min="2315" max="2315" width="16" style="172" bestFit="1" customWidth="1"/>
    <col min="2316" max="2316" width="13.19921875" style="172" customWidth="1"/>
    <col min="2317" max="2317" width="11.796875" style="172" customWidth="1"/>
    <col min="2318" max="2318" width="9.69921875" style="172" customWidth="1"/>
    <col min="2319" max="2560" width="10.69921875" style="172"/>
    <col min="2561" max="2561" width="9" style="172" customWidth="1"/>
    <col min="2562" max="2562" width="6.296875" style="172" customWidth="1"/>
    <col min="2563" max="2563" width="33.5" style="172" bestFit="1" customWidth="1"/>
    <col min="2564" max="2564" width="45.5" style="172" bestFit="1" customWidth="1"/>
    <col min="2565" max="2565" width="8.796875" style="172" customWidth="1"/>
    <col min="2566" max="2566" width="47.19921875" style="172" customWidth="1"/>
    <col min="2567" max="2567" width="10.19921875" style="172" customWidth="1"/>
    <col min="2568" max="2568" width="41.796875" style="172" customWidth="1"/>
    <col min="2569" max="2569" width="11.19921875" style="172" customWidth="1"/>
    <col min="2570" max="2570" width="10.5" style="172" customWidth="1"/>
    <col min="2571" max="2571" width="16" style="172" bestFit="1" customWidth="1"/>
    <col min="2572" max="2572" width="13.19921875" style="172" customWidth="1"/>
    <col min="2573" max="2573" width="11.796875" style="172" customWidth="1"/>
    <col min="2574" max="2574" width="9.69921875" style="172" customWidth="1"/>
    <col min="2575" max="2816" width="10.69921875" style="172"/>
    <col min="2817" max="2817" width="9" style="172" customWidth="1"/>
    <col min="2818" max="2818" width="6.296875" style="172" customWidth="1"/>
    <col min="2819" max="2819" width="33.5" style="172" bestFit="1" customWidth="1"/>
    <col min="2820" max="2820" width="45.5" style="172" bestFit="1" customWidth="1"/>
    <col min="2821" max="2821" width="8.796875" style="172" customWidth="1"/>
    <col min="2822" max="2822" width="47.19921875" style="172" customWidth="1"/>
    <col min="2823" max="2823" width="10.19921875" style="172" customWidth="1"/>
    <col min="2824" max="2824" width="41.796875" style="172" customWidth="1"/>
    <col min="2825" max="2825" width="11.19921875" style="172" customWidth="1"/>
    <col min="2826" max="2826" width="10.5" style="172" customWidth="1"/>
    <col min="2827" max="2827" width="16" style="172" bestFit="1" customWidth="1"/>
    <col min="2828" max="2828" width="13.19921875" style="172" customWidth="1"/>
    <col min="2829" max="2829" width="11.796875" style="172" customWidth="1"/>
    <col min="2830" max="2830" width="9.69921875" style="172" customWidth="1"/>
    <col min="2831" max="3072" width="10.69921875" style="172"/>
    <col min="3073" max="3073" width="9" style="172" customWidth="1"/>
    <col min="3074" max="3074" width="6.296875" style="172" customWidth="1"/>
    <col min="3075" max="3075" width="33.5" style="172" bestFit="1" customWidth="1"/>
    <col min="3076" max="3076" width="45.5" style="172" bestFit="1" customWidth="1"/>
    <col min="3077" max="3077" width="8.796875" style="172" customWidth="1"/>
    <col min="3078" max="3078" width="47.19921875" style="172" customWidth="1"/>
    <col min="3079" max="3079" width="10.19921875" style="172" customWidth="1"/>
    <col min="3080" max="3080" width="41.796875" style="172" customWidth="1"/>
    <col min="3081" max="3081" width="11.19921875" style="172" customWidth="1"/>
    <col min="3082" max="3082" width="10.5" style="172" customWidth="1"/>
    <col min="3083" max="3083" width="16" style="172" bestFit="1" customWidth="1"/>
    <col min="3084" max="3084" width="13.19921875" style="172" customWidth="1"/>
    <col min="3085" max="3085" width="11.796875" style="172" customWidth="1"/>
    <col min="3086" max="3086" width="9.69921875" style="172" customWidth="1"/>
    <col min="3087" max="3328" width="10.69921875" style="172"/>
    <col min="3329" max="3329" width="9" style="172" customWidth="1"/>
    <col min="3330" max="3330" width="6.296875" style="172" customWidth="1"/>
    <col min="3331" max="3331" width="33.5" style="172" bestFit="1" customWidth="1"/>
    <col min="3332" max="3332" width="45.5" style="172" bestFit="1" customWidth="1"/>
    <col min="3333" max="3333" width="8.796875" style="172" customWidth="1"/>
    <col min="3334" max="3334" width="47.19921875" style="172" customWidth="1"/>
    <col min="3335" max="3335" width="10.19921875" style="172" customWidth="1"/>
    <col min="3336" max="3336" width="41.796875" style="172" customWidth="1"/>
    <col min="3337" max="3337" width="11.19921875" style="172" customWidth="1"/>
    <col min="3338" max="3338" width="10.5" style="172" customWidth="1"/>
    <col min="3339" max="3339" width="16" style="172" bestFit="1" customWidth="1"/>
    <col min="3340" max="3340" width="13.19921875" style="172" customWidth="1"/>
    <col min="3341" max="3341" width="11.796875" style="172" customWidth="1"/>
    <col min="3342" max="3342" width="9.69921875" style="172" customWidth="1"/>
    <col min="3343" max="3584" width="10.69921875" style="172"/>
    <col min="3585" max="3585" width="9" style="172" customWidth="1"/>
    <col min="3586" max="3586" width="6.296875" style="172" customWidth="1"/>
    <col min="3587" max="3587" width="33.5" style="172" bestFit="1" customWidth="1"/>
    <col min="3588" max="3588" width="45.5" style="172" bestFit="1" customWidth="1"/>
    <col min="3589" max="3589" width="8.796875" style="172" customWidth="1"/>
    <col min="3590" max="3590" width="47.19921875" style="172" customWidth="1"/>
    <col min="3591" max="3591" width="10.19921875" style="172" customWidth="1"/>
    <col min="3592" max="3592" width="41.796875" style="172" customWidth="1"/>
    <col min="3593" max="3593" width="11.19921875" style="172" customWidth="1"/>
    <col min="3594" max="3594" width="10.5" style="172" customWidth="1"/>
    <col min="3595" max="3595" width="16" style="172" bestFit="1" customWidth="1"/>
    <col min="3596" max="3596" width="13.19921875" style="172" customWidth="1"/>
    <col min="3597" max="3597" width="11.796875" style="172" customWidth="1"/>
    <col min="3598" max="3598" width="9.69921875" style="172" customWidth="1"/>
    <col min="3599" max="3840" width="10.69921875" style="172"/>
    <col min="3841" max="3841" width="9" style="172" customWidth="1"/>
    <col min="3842" max="3842" width="6.296875" style="172" customWidth="1"/>
    <col min="3843" max="3843" width="33.5" style="172" bestFit="1" customWidth="1"/>
    <col min="3844" max="3844" width="45.5" style="172" bestFit="1" customWidth="1"/>
    <col min="3845" max="3845" width="8.796875" style="172" customWidth="1"/>
    <col min="3846" max="3846" width="47.19921875" style="172" customWidth="1"/>
    <col min="3847" max="3847" width="10.19921875" style="172" customWidth="1"/>
    <col min="3848" max="3848" width="41.796875" style="172" customWidth="1"/>
    <col min="3849" max="3849" width="11.19921875" style="172" customWidth="1"/>
    <col min="3850" max="3850" width="10.5" style="172" customWidth="1"/>
    <col min="3851" max="3851" width="16" style="172" bestFit="1" customWidth="1"/>
    <col min="3852" max="3852" width="13.19921875" style="172" customWidth="1"/>
    <col min="3853" max="3853" width="11.796875" style="172" customWidth="1"/>
    <col min="3854" max="3854" width="9.69921875" style="172" customWidth="1"/>
    <col min="3855" max="4096" width="10.69921875" style="172"/>
    <col min="4097" max="4097" width="9" style="172" customWidth="1"/>
    <col min="4098" max="4098" width="6.296875" style="172" customWidth="1"/>
    <col min="4099" max="4099" width="33.5" style="172" bestFit="1" customWidth="1"/>
    <col min="4100" max="4100" width="45.5" style="172" bestFit="1" customWidth="1"/>
    <col min="4101" max="4101" width="8.796875" style="172" customWidth="1"/>
    <col min="4102" max="4102" width="47.19921875" style="172" customWidth="1"/>
    <col min="4103" max="4103" width="10.19921875" style="172" customWidth="1"/>
    <col min="4104" max="4104" width="41.796875" style="172" customWidth="1"/>
    <col min="4105" max="4105" width="11.19921875" style="172" customWidth="1"/>
    <col min="4106" max="4106" width="10.5" style="172" customWidth="1"/>
    <col min="4107" max="4107" width="16" style="172" bestFit="1" customWidth="1"/>
    <col min="4108" max="4108" width="13.19921875" style="172" customWidth="1"/>
    <col min="4109" max="4109" width="11.796875" style="172" customWidth="1"/>
    <col min="4110" max="4110" width="9.69921875" style="172" customWidth="1"/>
    <col min="4111" max="4352" width="10.69921875" style="172"/>
    <col min="4353" max="4353" width="9" style="172" customWidth="1"/>
    <col min="4354" max="4354" width="6.296875" style="172" customWidth="1"/>
    <col min="4355" max="4355" width="33.5" style="172" bestFit="1" customWidth="1"/>
    <col min="4356" max="4356" width="45.5" style="172" bestFit="1" customWidth="1"/>
    <col min="4357" max="4357" width="8.796875" style="172" customWidth="1"/>
    <col min="4358" max="4358" width="47.19921875" style="172" customWidth="1"/>
    <col min="4359" max="4359" width="10.19921875" style="172" customWidth="1"/>
    <col min="4360" max="4360" width="41.796875" style="172" customWidth="1"/>
    <col min="4361" max="4361" width="11.19921875" style="172" customWidth="1"/>
    <col min="4362" max="4362" width="10.5" style="172" customWidth="1"/>
    <col min="4363" max="4363" width="16" style="172" bestFit="1" customWidth="1"/>
    <col min="4364" max="4364" width="13.19921875" style="172" customWidth="1"/>
    <col min="4365" max="4365" width="11.796875" style="172" customWidth="1"/>
    <col min="4366" max="4366" width="9.69921875" style="172" customWidth="1"/>
    <col min="4367" max="4608" width="10.69921875" style="172"/>
    <col min="4609" max="4609" width="9" style="172" customWidth="1"/>
    <col min="4610" max="4610" width="6.296875" style="172" customWidth="1"/>
    <col min="4611" max="4611" width="33.5" style="172" bestFit="1" customWidth="1"/>
    <col min="4612" max="4612" width="45.5" style="172" bestFit="1" customWidth="1"/>
    <col min="4613" max="4613" width="8.796875" style="172" customWidth="1"/>
    <col min="4614" max="4614" width="47.19921875" style="172" customWidth="1"/>
    <col min="4615" max="4615" width="10.19921875" style="172" customWidth="1"/>
    <col min="4616" max="4616" width="41.796875" style="172" customWidth="1"/>
    <col min="4617" max="4617" width="11.19921875" style="172" customWidth="1"/>
    <col min="4618" max="4618" width="10.5" style="172" customWidth="1"/>
    <col min="4619" max="4619" width="16" style="172" bestFit="1" customWidth="1"/>
    <col min="4620" max="4620" width="13.19921875" style="172" customWidth="1"/>
    <col min="4621" max="4621" width="11.796875" style="172" customWidth="1"/>
    <col min="4622" max="4622" width="9.69921875" style="172" customWidth="1"/>
    <col min="4623" max="4864" width="10.69921875" style="172"/>
    <col min="4865" max="4865" width="9" style="172" customWidth="1"/>
    <col min="4866" max="4866" width="6.296875" style="172" customWidth="1"/>
    <col min="4867" max="4867" width="33.5" style="172" bestFit="1" customWidth="1"/>
    <col min="4868" max="4868" width="45.5" style="172" bestFit="1" customWidth="1"/>
    <col min="4869" max="4869" width="8.796875" style="172" customWidth="1"/>
    <col min="4870" max="4870" width="47.19921875" style="172" customWidth="1"/>
    <col min="4871" max="4871" width="10.19921875" style="172" customWidth="1"/>
    <col min="4872" max="4872" width="41.796875" style="172" customWidth="1"/>
    <col min="4873" max="4873" width="11.19921875" style="172" customWidth="1"/>
    <col min="4874" max="4874" width="10.5" style="172" customWidth="1"/>
    <col min="4875" max="4875" width="16" style="172" bestFit="1" customWidth="1"/>
    <col min="4876" max="4876" width="13.19921875" style="172" customWidth="1"/>
    <col min="4877" max="4877" width="11.796875" style="172" customWidth="1"/>
    <col min="4878" max="4878" width="9.69921875" style="172" customWidth="1"/>
    <col min="4879" max="5120" width="10.69921875" style="172"/>
    <col min="5121" max="5121" width="9" style="172" customWidth="1"/>
    <col min="5122" max="5122" width="6.296875" style="172" customWidth="1"/>
    <col min="5123" max="5123" width="33.5" style="172" bestFit="1" customWidth="1"/>
    <col min="5124" max="5124" width="45.5" style="172" bestFit="1" customWidth="1"/>
    <col min="5125" max="5125" width="8.796875" style="172" customWidth="1"/>
    <col min="5126" max="5126" width="47.19921875" style="172" customWidth="1"/>
    <col min="5127" max="5127" width="10.19921875" style="172" customWidth="1"/>
    <col min="5128" max="5128" width="41.796875" style="172" customWidth="1"/>
    <col min="5129" max="5129" width="11.19921875" style="172" customWidth="1"/>
    <col min="5130" max="5130" width="10.5" style="172" customWidth="1"/>
    <col min="5131" max="5131" width="16" style="172" bestFit="1" customWidth="1"/>
    <col min="5132" max="5132" width="13.19921875" style="172" customWidth="1"/>
    <col min="5133" max="5133" width="11.796875" style="172" customWidth="1"/>
    <col min="5134" max="5134" width="9.69921875" style="172" customWidth="1"/>
    <col min="5135" max="5376" width="10.69921875" style="172"/>
    <col min="5377" max="5377" width="9" style="172" customWidth="1"/>
    <col min="5378" max="5378" width="6.296875" style="172" customWidth="1"/>
    <col min="5379" max="5379" width="33.5" style="172" bestFit="1" customWidth="1"/>
    <col min="5380" max="5380" width="45.5" style="172" bestFit="1" customWidth="1"/>
    <col min="5381" max="5381" width="8.796875" style="172" customWidth="1"/>
    <col min="5382" max="5382" width="47.19921875" style="172" customWidth="1"/>
    <col min="5383" max="5383" width="10.19921875" style="172" customWidth="1"/>
    <col min="5384" max="5384" width="41.796875" style="172" customWidth="1"/>
    <col min="5385" max="5385" width="11.19921875" style="172" customWidth="1"/>
    <col min="5386" max="5386" width="10.5" style="172" customWidth="1"/>
    <col min="5387" max="5387" width="16" style="172" bestFit="1" customWidth="1"/>
    <col min="5388" max="5388" width="13.19921875" style="172" customWidth="1"/>
    <col min="5389" max="5389" width="11.796875" style="172" customWidth="1"/>
    <col min="5390" max="5390" width="9.69921875" style="172" customWidth="1"/>
    <col min="5391" max="5632" width="10.69921875" style="172"/>
    <col min="5633" max="5633" width="9" style="172" customWidth="1"/>
    <col min="5634" max="5634" width="6.296875" style="172" customWidth="1"/>
    <col min="5635" max="5635" width="33.5" style="172" bestFit="1" customWidth="1"/>
    <col min="5636" max="5636" width="45.5" style="172" bestFit="1" customWidth="1"/>
    <col min="5637" max="5637" width="8.796875" style="172" customWidth="1"/>
    <col min="5638" max="5638" width="47.19921875" style="172" customWidth="1"/>
    <col min="5639" max="5639" width="10.19921875" style="172" customWidth="1"/>
    <col min="5640" max="5640" width="41.796875" style="172" customWidth="1"/>
    <col min="5641" max="5641" width="11.19921875" style="172" customWidth="1"/>
    <col min="5642" max="5642" width="10.5" style="172" customWidth="1"/>
    <col min="5643" max="5643" width="16" style="172" bestFit="1" customWidth="1"/>
    <col min="5644" max="5644" width="13.19921875" style="172" customWidth="1"/>
    <col min="5645" max="5645" width="11.796875" style="172" customWidth="1"/>
    <col min="5646" max="5646" width="9.69921875" style="172" customWidth="1"/>
    <col min="5647" max="5888" width="10.69921875" style="172"/>
    <col min="5889" max="5889" width="9" style="172" customWidth="1"/>
    <col min="5890" max="5890" width="6.296875" style="172" customWidth="1"/>
    <col min="5891" max="5891" width="33.5" style="172" bestFit="1" customWidth="1"/>
    <col min="5892" max="5892" width="45.5" style="172" bestFit="1" customWidth="1"/>
    <col min="5893" max="5893" width="8.796875" style="172" customWidth="1"/>
    <col min="5894" max="5894" width="47.19921875" style="172" customWidth="1"/>
    <col min="5895" max="5895" width="10.19921875" style="172" customWidth="1"/>
    <col min="5896" max="5896" width="41.796875" style="172" customWidth="1"/>
    <col min="5897" max="5897" width="11.19921875" style="172" customWidth="1"/>
    <col min="5898" max="5898" width="10.5" style="172" customWidth="1"/>
    <col min="5899" max="5899" width="16" style="172" bestFit="1" customWidth="1"/>
    <col min="5900" max="5900" width="13.19921875" style="172" customWidth="1"/>
    <col min="5901" max="5901" width="11.796875" style="172" customWidth="1"/>
    <col min="5902" max="5902" width="9.69921875" style="172" customWidth="1"/>
    <col min="5903" max="6144" width="10.69921875" style="172"/>
    <col min="6145" max="6145" width="9" style="172" customWidth="1"/>
    <col min="6146" max="6146" width="6.296875" style="172" customWidth="1"/>
    <col min="6147" max="6147" width="33.5" style="172" bestFit="1" customWidth="1"/>
    <col min="6148" max="6148" width="45.5" style="172" bestFit="1" customWidth="1"/>
    <col min="6149" max="6149" width="8.796875" style="172" customWidth="1"/>
    <col min="6150" max="6150" width="47.19921875" style="172" customWidth="1"/>
    <col min="6151" max="6151" width="10.19921875" style="172" customWidth="1"/>
    <col min="6152" max="6152" width="41.796875" style="172" customWidth="1"/>
    <col min="6153" max="6153" width="11.19921875" style="172" customWidth="1"/>
    <col min="6154" max="6154" width="10.5" style="172" customWidth="1"/>
    <col min="6155" max="6155" width="16" style="172" bestFit="1" customWidth="1"/>
    <col min="6156" max="6156" width="13.19921875" style="172" customWidth="1"/>
    <col min="6157" max="6157" width="11.796875" style="172" customWidth="1"/>
    <col min="6158" max="6158" width="9.69921875" style="172" customWidth="1"/>
    <col min="6159" max="6400" width="10.69921875" style="172"/>
    <col min="6401" max="6401" width="9" style="172" customWidth="1"/>
    <col min="6402" max="6402" width="6.296875" style="172" customWidth="1"/>
    <col min="6403" max="6403" width="33.5" style="172" bestFit="1" customWidth="1"/>
    <col min="6404" max="6404" width="45.5" style="172" bestFit="1" customWidth="1"/>
    <col min="6405" max="6405" width="8.796875" style="172" customWidth="1"/>
    <col min="6406" max="6406" width="47.19921875" style="172" customWidth="1"/>
    <col min="6407" max="6407" width="10.19921875" style="172" customWidth="1"/>
    <col min="6408" max="6408" width="41.796875" style="172" customWidth="1"/>
    <col min="6409" max="6409" width="11.19921875" style="172" customWidth="1"/>
    <col min="6410" max="6410" width="10.5" style="172" customWidth="1"/>
    <col min="6411" max="6411" width="16" style="172" bestFit="1" customWidth="1"/>
    <col min="6412" max="6412" width="13.19921875" style="172" customWidth="1"/>
    <col min="6413" max="6413" width="11.796875" style="172" customWidth="1"/>
    <col min="6414" max="6414" width="9.69921875" style="172" customWidth="1"/>
    <col min="6415" max="6656" width="10.69921875" style="172"/>
    <col min="6657" max="6657" width="9" style="172" customWidth="1"/>
    <col min="6658" max="6658" width="6.296875" style="172" customWidth="1"/>
    <col min="6659" max="6659" width="33.5" style="172" bestFit="1" customWidth="1"/>
    <col min="6660" max="6660" width="45.5" style="172" bestFit="1" customWidth="1"/>
    <col min="6661" max="6661" width="8.796875" style="172" customWidth="1"/>
    <col min="6662" max="6662" width="47.19921875" style="172" customWidth="1"/>
    <col min="6663" max="6663" width="10.19921875" style="172" customWidth="1"/>
    <col min="6664" max="6664" width="41.796875" style="172" customWidth="1"/>
    <col min="6665" max="6665" width="11.19921875" style="172" customWidth="1"/>
    <col min="6666" max="6666" width="10.5" style="172" customWidth="1"/>
    <col min="6667" max="6667" width="16" style="172" bestFit="1" customWidth="1"/>
    <col min="6668" max="6668" width="13.19921875" style="172" customWidth="1"/>
    <col min="6669" max="6669" width="11.796875" style="172" customWidth="1"/>
    <col min="6670" max="6670" width="9.69921875" style="172" customWidth="1"/>
    <col min="6671" max="6912" width="10.69921875" style="172"/>
    <col min="6913" max="6913" width="9" style="172" customWidth="1"/>
    <col min="6914" max="6914" width="6.296875" style="172" customWidth="1"/>
    <col min="6915" max="6915" width="33.5" style="172" bestFit="1" customWidth="1"/>
    <col min="6916" max="6916" width="45.5" style="172" bestFit="1" customWidth="1"/>
    <col min="6917" max="6917" width="8.796875" style="172" customWidth="1"/>
    <col min="6918" max="6918" width="47.19921875" style="172" customWidth="1"/>
    <col min="6919" max="6919" width="10.19921875" style="172" customWidth="1"/>
    <col min="6920" max="6920" width="41.796875" style="172" customWidth="1"/>
    <col min="6921" max="6921" width="11.19921875" style="172" customWidth="1"/>
    <col min="6922" max="6922" width="10.5" style="172" customWidth="1"/>
    <col min="6923" max="6923" width="16" style="172" bestFit="1" customWidth="1"/>
    <col min="6924" max="6924" width="13.19921875" style="172" customWidth="1"/>
    <col min="6925" max="6925" width="11.796875" style="172" customWidth="1"/>
    <col min="6926" max="6926" width="9.69921875" style="172" customWidth="1"/>
    <col min="6927" max="7168" width="10.69921875" style="172"/>
    <col min="7169" max="7169" width="9" style="172" customWidth="1"/>
    <col min="7170" max="7170" width="6.296875" style="172" customWidth="1"/>
    <col min="7171" max="7171" width="33.5" style="172" bestFit="1" customWidth="1"/>
    <col min="7172" max="7172" width="45.5" style="172" bestFit="1" customWidth="1"/>
    <col min="7173" max="7173" width="8.796875" style="172" customWidth="1"/>
    <col min="7174" max="7174" width="47.19921875" style="172" customWidth="1"/>
    <col min="7175" max="7175" width="10.19921875" style="172" customWidth="1"/>
    <col min="7176" max="7176" width="41.796875" style="172" customWidth="1"/>
    <col min="7177" max="7177" width="11.19921875" style="172" customWidth="1"/>
    <col min="7178" max="7178" width="10.5" style="172" customWidth="1"/>
    <col min="7179" max="7179" width="16" style="172" bestFit="1" customWidth="1"/>
    <col min="7180" max="7180" width="13.19921875" style="172" customWidth="1"/>
    <col min="7181" max="7181" width="11.796875" style="172" customWidth="1"/>
    <col min="7182" max="7182" width="9.69921875" style="172" customWidth="1"/>
    <col min="7183" max="7424" width="10.69921875" style="172"/>
    <col min="7425" max="7425" width="9" style="172" customWidth="1"/>
    <col min="7426" max="7426" width="6.296875" style="172" customWidth="1"/>
    <col min="7427" max="7427" width="33.5" style="172" bestFit="1" customWidth="1"/>
    <col min="7428" max="7428" width="45.5" style="172" bestFit="1" customWidth="1"/>
    <col min="7429" max="7429" width="8.796875" style="172" customWidth="1"/>
    <col min="7430" max="7430" width="47.19921875" style="172" customWidth="1"/>
    <col min="7431" max="7431" width="10.19921875" style="172" customWidth="1"/>
    <col min="7432" max="7432" width="41.796875" style="172" customWidth="1"/>
    <col min="7433" max="7433" width="11.19921875" style="172" customWidth="1"/>
    <col min="7434" max="7434" width="10.5" style="172" customWidth="1"/>
    <col min="7435" max="7435" width="16" style="172" bestFit="1" customWidth="1"/>
    <col min="7436" max="7436" width="13.19921875" style="172" customWidth="1"/>
    <col min="7437" max="7437" width="11.796875" style="172" customWidth="1"/>
    <col min="7438" max="7438" width="9.69921875" style="172" customWidth="1"/>
    <col min="7439" max="7680" width="10.69921875" style="172"/>
    <col min="7681" max="7681" width="9" style="172" customWidth="1"/>
    <col min="7682" max="7682" width="6.296875" style="172" customWidth="1"/>
    <col min="7683" max="7683" width="33.5" style="172" bestFit="1" customWidth="1"/>
    <col min="7684" max="7684" width="45.5" style="172" bestFit="1" customWidth="1"/>
    <col min="7685" max="7685" width="8.796875" style="172" customWidth="1"/>
    <col min="7686" max="7686" width="47.19921875" style="172" customWidth="1"/>
    <col min="7687" max="7687" width="10.19921875" style="172" customWidth="1"/>
    <col min="7688" max="7688" width="41.796875" style="172" customWidth="1"/>
    <col min="7689" max="7689" width="11.19921875" style="172" customWidth="1"/>
    <col min="7690" max="7690" width="10.5" style="172" customWidth="1"/>
    <col min="7691" max="7691" width="16" style="172" bestFit="1" customWidth="1"/>
    <col min="7692" max="7692" width="13.19921875" style="172" customWidth="1"/>
    <col min="7693" max="7693" width="11.796875" style="172" customWidth="1"/>
    <col min="7694" max="7694" width="9.69921875" style="172" customWidth="1"/>
    <col min="7695" max="7936" width="10.69921875" style="172"/>
    <col min="7937" max="7937" width="9" style="172" customWidth="1"/>
    <col min="7938" max="7938" width="6.296875" style="172" customWidth="1"/>
    <col min="7939" max="7939" width="33.5" style="172" bestFit="1" customWidth="1"/>
    <col min="7940" max="7940" width="45.5" style="172" bestFit="1" customWidth="1"/>
    <col min="7941" max="7941" width="8.796875" style="172" customWidth="1"/>
    <col min="7942" max="7942" width="47.19921875" style="172" customWidth="1"/>
    <col min="7943" max="7943" width="10.19921875" style="172" customWidth="1"/>
    <col min="7944" max="7944" width="41.796875" style="172" customWidth="1"/>
    <col min="7945" max="7945" width="11.19921875" style="172" customWidth="1"/>
    <col min="7946" max="7946" width="10.5" style="172" customWidth="1"/>
    <col min="7947" max="7947" width="16" style="172" bestFit="1" customWidth="1"/>
    <col min="7948" max="7948" width="13.19921875" style="172" customWidth="1"/>
    <col min="7949" max="7949" width="11.796875" style="172" customWidth="1"/>
    <col min="7950" max="7950" width="9.69921875" style="172" customWidth="1"/>
    <col min="7951" max="8192" width="10.69921875" style="172"/>
    <col min="8193" max="8193" width="9" style="172" customWidth="1"/>
    <col min="8194" max="8194" width="6.296875" style="172" customWidth="1"/>
    <col min="8195" max="8195" width="33.5" style="172" bestFit="1" customWidth="1"/>
    <col min="8196" max="8196" width="45.5" style="172" bestFit="1" customWidth="1"/>
    <col min="8197" max="8197" width="8.796875" style="172" customWidth="1"/>
    <col min="8198" max="8198" width="47.19921875" style="172" customWidth="1"/>
    <col min="8199" max="8199" width="10.19921875" style="172" customWidth="1"/>
    <col min="8200" max="8200" width="41.796875" style="172" customWidth="1"/>
    <col min="8201" max="8201" width="11.19921875" style="172" customWidth="1"/>
    <col min="8202" max="8202" width="10.5" style="172" customWidth="1"/>
    <col min="8203" max="8203" width="16" style="172" bestFit="1" customWidth="1"/>
    <col min="8204" max="8204" width="13.19921875" style="172" customWidth="1"/>
    <col min="8205" max="8205" width="11.796875" style="172" customWidth="1"/>
    <col min="8206" max="8206" width="9.69921875" style="172" customWidth="1"/>
    <col min="8207" max="8448" width="10.69921875" style="172"/>
    <col min="8449" max="8449" width="9" style="172" customWidth="1"/>
    <col min="8450" max="8450" width="6.296875" style="172" customWidth="1"/>
    <col min="8451" max="8451" width="33.5" style="172" bestFit="1" customWidth="1"/>
    <col min="8452" max="8452" width="45.5" style="172" bestFit="1" customWidth="1"/>
    <col min="8453" max="8453" width="8.796875" style="172" customWidth="1"/>
    <col min="8454" max="8454" width="47.19921875" style="172" customWidth="1"/>
    <col min="8455" max="8455" width="10.19921875" style="172" customWidth="1"/>
    <col min="8456" max="8456" width="41.796875" style="172" customWidth="1"/>
    <col min="8457" max="8457" width="11.19921875" style="172" customWidth="1"/>
    <col min="8458" max="8458" width="10.5" style="172" customWidth="1"/>
    <col min="8459" max="8459" width="16" style="172" bestFit="1" customWidth="1"/>
    <col min="8460" max="8460" width="13.19921875" style="172" customWidth="1"/>
    <col min="8461" max="8461" width="11.796875" style="172" customWidth="1"/>
    <col min="8462" max="8462" width="9.69921875" style="172" customWidth="1"/>
    <col min="8463" max="8704" width="10.69921875" style="172"/>
    <col min="8705" max="8705" width="9" style="172" customWidth="1"/>
    <col min="8706" max="8706" width="6.296875" style="172" customWidth="1"/>
    <col min="8707" max="8707" width="33.5" style="172" bestFit="1" customWidth="1"/>
    <col min="8708" max="8708" width="45.5" style="172" bestFit="1" customWidth="1"/>
    <col min="8709" max="8709" width="8.796875" style="172" customWidth="1"/>
    <col min="8710" max="8710" width="47.19921875" style="172" customWidth="1"/>
    <col min="8711" max="8711" width="10.19921875" style="172" customWidth="1"/>
    <col min="8712" max="8712" width="41.796875" style="172" customWidth="1"/>
    <col min="8713" max="8713" width="11.19921875" style="172" customWidth="1"/>
    <col min="8714" max="8714" width="10.5" style="172" customWidth="1"/>
    <col min="8715" max="8715" width="16" style="172" bestFit="1" customWidth="1"/>
    <col min="8716" max="8716" width="13.19921875" style="172" customWidth="1"/>
    <col min="8717" max="8717" width="11.796875" style="172" customWidth="1"/>
    <col min="8718" max="8718" width="9.69921875" style="172" customWidth="1"/>
    <col min="8719" max="8960" width="10.69921875" style="172"/>
    <col min="8961" max="8961" width="9" style="172" customWidth="1"/>
    <col min="8962" max="8962" width="6.296875" style="172" customWidth="1"/>
    <col min="8963" max="8963" width="33.5" style="172" bestFit="1" customWidth="1"/>
    <col min="8964" max="8964" width="45.5" style="172" bestFit="1" customWidth="1"/>
    <col min="8965" max="8965" width="8.796875" style="172" customWidth="1"/>
    <col min="8966" max="8966" width="47.19921875" style="172" customWidth="1"/>
    <col min="8967" max="8967" width="10.19921875" style="172" customWidth="1"/>
    <col min="8968" max="8968" width="41.796875" style="172" customWidth="1"/>
    <col min="8969" max="8969" width="11.19921875" style="172" customWidth="1"/>
    <col min="8970" max="8970" width="10.5" style="172" customWidth="1"/>
    <col min="8971" max="8971" width="16" style="172" bestFit="1" customWidth="1"/>
    <col min="8972" max="8972" width="13.19921875" style="172" customWidth="1"/>
    <col min="8973" max="8973" width="11.796875" style="172" customWidth="1"/>
    <col min="8974" max="8974" width="9.69921875" style="172" customWidth="1"/>
    <col min="8975" max="9216" width="10.69921875" style="172"/>
    <col min="9217" max="9217" width="9" style="172" customWidth="1"/>
    <col min="9218" max="9218" width="6.296875" style="172" customWidth="1"/>
    <col min="9219" max="9219" width="33.5" style="172" bestFit="1" customWidth="1"/>
    <col min="9220" max="9220" width="45.5" style="172" bestFit="1" customWidth="1"/>
    <col min="9221" max="9221" width="8.796875" style="172" customWidth="1"/>
    <col min="9222" max="9222" width="47.19921875" style="172" customWidth="1"/>
    <col min="9223" max="9223" width="10.19921875" style="172" customWidth="1"/>
    <col min="9224" max="9224" width="41.796875" style="172" customWidth="1"/>
    <col min="9225" max="9225" width="11.19921875" style="172" customWidth="1"/>
    <col min="9226" max="9226" width="10.5" style="172" customWidth="1"/>
    <col min="9227" max="9227" width="16" style="172" bestFit="1" customWidth="1"/>
    <col min="9228" max="9228" width="13.19921875" style="172" customWidth="1"/>
    <col min="9229" max="9229" width="11.796875" style="172" customWidth="1"/>
    <col min="9230" max="9230" width="9.69921875" style="172" customWidth="1"/>
    <col min="9231" max="9472" width="10.69921875" style="172"/>
    <col min="9473" max="9473" width="9" style="172" customWidth="1"/>
    <col min="9474" max="9474" width="6.296875" style="172" customWidth="1"/>
    <col min="9475" max="9475" width="33.5" style="172" bestFit="1" customWidth="1"/>
    <col min="9476" max="9476" width="45.5" style="172" bestFit="1" customWidth="1"/>
    <col min="9477" max="9477" width="8.796875" style="172" customWidth="1"/>
    <col min="9478" max="9478" width="47.19921875" style="172" customWidth="1"/>
    <col min="9479" max="9479" width="10.19921875" style="172" customWidth="1"/>
    <col min="9480" max="9480" width="41.796875" style="172" customWidth="1"/>
    <col min="9481" max="9481" width="11.19921875" style="172" customWidth="1"/>
    <col min="9482" max="9482" width="10.5" style="172" customWidth="1"/>
    <col min="9483" max="9483" width="16" style="172" bestFit="1" customWidth="1"/>
    <col min="9484" max="9484" width="13.19921875" style="172" customWidth="1"/>
    <col min="9485" max="9485" width="11.796875" style="172" customWidth="1"/>
    <col min="9486" max="9486" width="9.69921875" style="172" customWidth="1"/>
    <col min="9487" max="9728" width="10.69921875" style="172"/>
    <col min="9729" max="9729" width="9" style="172" customWidth="1"/>
    <col min="9730" max="9730" width="6.296875" style="172" customWidth="1"/>
    <col min="9731" max="9731" width="33.5" style="172" bestFit="1" customWidth="1"/>
    <col min="9732" max="9732" width="45.5" style="172" bestFit="1" customWidth="1"/>
    <col min="9733" max="9733" width="8.796875" style="172" customWidth="1"/>
    <col min="9734" max="9734" width="47.19921875" style="172" customWidth="1"/>
    <col min="9735" max="9735" width="10.19921875" style="172" customWidth="1"/>
    <col min="9736" max="9736" width="41.796875" style="172" customWidth="1"/>
    <col min="9737" max="9737" width="11.19921875" style="172" customWidth="1"/>
    <col min="9738" max="9738" width="10.5" style="172" customWidth="1"/>
    <col min="9739" max="9739" width="16" style="172" bestFit="1" customWidth="1"/>
    <col min="9740" max="9740" width="13.19921875" style="172" customWidth="1"/>
    <col min="9741" max="9741" width="11.796875" style="172" customWidth="1"/>
    <col min="9742" max="9742" width="9.69921875" style="172" customWidth="1"/>
    <col min="9743" max="9984" width="10.69921875" style="172"/>
    <col min="9985" max="9985" width="9" style="172" customWidth="1"/>
    <col min="9986" max="9986" width="6.296875" style="172" customWidth="1"/>
    <col min="9987" max="9987" width="33.5" style="172" bestFit="1" customWidth="1"/>
    <col min="9988" max="9988" width="45.5" style="172" bestFit="1" customWidth="1"/>
    <col min="9989" max="9989" width="8.796875" style="172" customWidth="1"/>
    <col min="9990" max="9990" width="47.19921875" style="172" customWidth="1"/>
    <col min="9991" max="9991" width="10.19921875" style="172" customWidth="1"/>
    <col min="9992" max="9992" width="41.796875" style="172" customWidth="1"/>
    <col min="9993" max="9993" width="11.19921875" style="172" customWidth="1"/>
    <col min="9994" max="9994" width="10.5" style="172" customWidth="1"/>
    <col min="9995" max="9995" width="16" style="172" bestFit="1" customWidth="1"/>
    <col min="9996" max="9996" width="13.19921875" style="172" customWidth="1"/>
    <col min="9997" max="9997" width="11.796875" style="172" customWidth="1"/>
    <col min="9998" max="9998" width="9.69921875" style="172" customWidth="1"/>
    <col min="9999" max="10240" width="10.69921875" style="172"/>
    <col min="10241" max="10241" width="9" style="172" customWidth="1"/>
    <col min="10242" max="10242" width="6.296875" style="172" customWidth="1"/>
    <col min="10243" max="10243" width="33.5" style="172" bestFit="1" customWidth="1"/>
    <col min="10244" max="10244" width="45.5" style="172" bestFit="1" customWidth="1"/>
    <col min="10245" max="10245" width="8.796875" style="172" customWidth="1"/>
    <col min="10246" max="10246" width="47.19921875" style="172" customWidth="1"/>
    <col min="10247" max="10247" width="10.19921875" style="172" customWidth="1"/>
    <col min="10248" max="10248" width="41.796875" style="172" customWidth="1"/>
    <col min="10249" max="10249" width="11.19921875" style="172" customWidth="1"/>
    <col min="10250" max="10250" width="10.5" style="172" customWidth="1"/>
    <col min="10251" max="10251" width="16" style="172" bestFit="1" customWidth="1"/>
    <col min="10252" max="10252" width="13.19921875" style="172" customWidth="1"/>
    <col min="10253" max="10253" width="11.796875" style="172" customWidth="1"/>
    <col min="10254" max="10254" width="9.69921875" style="172" customWidth="1"/>
    <col min="10255" max="10496" width="10.69921875" style="172"/>
    <col min="10497" max="10497" width="9" style="172" customWidth="1"/>
    <col min="10498" max="10498" width="6.296875" style="172" customWidth="1"/>
    <col min="10499" max="10499" width="33.5" style="172" bestFit="1" customWidth="1"/>
    <col min="10500" max="10500" width="45.5" style="172" bestFit="1" customWidth="1"/>
    <col min="10501" max="10501" width="8.796875" style="172" customWidth="1"/>
    <col min="10502" max="10502" width="47.19921875" style="172" customWidth="1"/>
    <col min="10503" max="10503" width="10.19921875" style="172" customWidth="1"/>
    <col min="10504" max="10504" width="41.796875" style="172" customWidth="1"/>
    <col min="10505" max="10505" width="11.19921875" style="172" customWidth="1"/>
    <col min="10506" max="10506" width="10.5" style="172" customWidth="1"/>
    <col min="10507" max="10507" width="16" style="172" bestFit="1" customWidth="1"/>
    <col min="10508" max="10508" width="13.19921875" style="172" customWidth="1"/>
    <col min="10509" max="10509" width="11.796875" style="172" customWidth="1"/>
    <col min="10510" max="10510" width="9.69921875" style="172" customWidth="1"/>
    <col min="10511" max="10752" width="10.69921875" style="172"/>
    <col min="10753" max="10753" width="9" style="172" customWidth="1"/>
    <col min="10754" max="10754" width="6.296875" style="172" customWidth="1"/>
    <col min="10755" max="10755" width="33.5" style="172" bestFit="1" customWidth="1"/>
    <col min="10756" max="10756" width="45.5" style="172" bestFit="1" customWidth="1"/>
    <col min="10757" max="10757" width="8.796875" style="172" customWidth="1"/>
    <col min="10758" max="10758" width="47.19921875" style="172" customWidth="1"/>
    <col min="10759" max="10759" width="10.19921875" style="172" customWidth="1"/>
    <col min="10760" max="10760" width="41.796875" style="172" customWidth="1"/>
    <col min="10761" max="10761" width="11.19921875" style="172" customWidth="1"/>
    <col min="10762" max="10762" width="10.5" style="172" customWidth="1"/>
    <col min="10763" max="10763" width="16" style="172" bestFit="1" customWidth="1"/>
    <col min="10764" max="10764" width="13.19921875" style="172" customWidth="1"/>
    <col min="10765" max="10765" width="11.796875" style="172" customWidth="1"/>
    <col min="10766" max="10766" width="9.69921875" style="172" customWidth="1"/>
    <col min="10767" max="11008" width="10.69921875" style="172"/>
    <col min="11009" max="11009" width="9" style="172" customWidth="1"/>
    <col min="11010" max="11010" width="6.296875" style="172" customWidth="1"/>
    <col min="11011" max="11011" width="33.5" style="172" bestFit="1" customWidth="1"/>
    <col min="11012" max="11012" width="45.5" style="172" bestFit="1" customWidth="1"/>
    <col min="11013" max="11013" width="8.796875" style="172" customWidth="1"/>
    <col min="11014" max="11014" width="47.19921875" style="172" customWidth="1"/>
    <col min="11015" max="11015" width="10.19921875" style="172" customWidth="1"/>
    <col min="11016" max="11016" width="41.796875" style="172" customWidth="1"/>
    <col min="11017" max="11017" width="11.19921875" style="172" customWidth="1"/>
    <col min="11018" max="11018" width="10.5" style="172" customWidth="1"/>
    <col min="11019" max="11019" width="16" style="172" bestFit="1" customWidth="1"/>
    <col min="11020" max="11020" width="13.19921875" style="172" customWidth="1"/>
    <col min="11021" max="11021" width="11.796875" style="172" customWidth="1"/>
    <col min="11022" max="11022" width="9.69921875" style="172" customWidth="1"/>
    <col min="11023" max="11264" width="10.69921875" style="172"/>
    <col min="11265" max="11265" width="9" style="172" customWidth="1"/>
    <col min="11266" max="11266" width="6.296875" style="172" customWidth="1"/>
    <col min="11267" max="11267" width="33.5" style="172" bestFit="1" customWidth="1"/>
    <col min="11268" max="11268" width="45.5" style="172" bestFit="1" customWidth="1"/>
    <col min="11269" max="11269" width="8.796875" style="172" customWidth="1"/>
    <col min="11270" max="11270" width="47.19921875" style="172" customWidth="1"/>
    <col min="11271" max="11271" width="10.19921875" style="172" customWidth="1"/>
    <col min="11272" max="11272" width="41.796875" style="172" customWidth="1"/>
    <col min="11273" max="11273" width="11.19921875" style="172" customWidth="1"/>
    <col min="11274" max="11274" width="10.5" style="172" customWidth="1"/>
    <col min="11275" max="11275" width="16" style="172" bestFit="1" customWidth="1"/>
    <col min="11276" max="11276" width="13.19921875" style="172" customWidth="1"/>
    <col min="11277" max="11277" width="11.796875" style="172" customWidth="1"/>
    <col min="11278" max="11278" width="9.69921875" style="172" customWidth="1"/>
    <col min="11279" max="11520" width="10.69921875" style="172"/>
    <col min="11521" max="11521" width="9" style="172" customWidth="1"/>
    <col min="11522" max="11522" width="6.296875" style="172" customWidth="1"/>
    <col min="11523" max="11523" width="33.5" style="172" bestFit="1" customWidth="1"/>
    <col min="11524" max="11524" width="45.5" style="172" bestFit="1" customWidth="1"/>
    <col min="11525" max="11525" width="8.796875" style="172" customWidth="1"/>
    <col min="11526" max="11526" width="47.19921875" style="172" customWidth="1"/>
    <col min="11527" max="11527" width="10.19921875" style="172" customWidth="1"/>
    <col min="11528" max="11528" width="41.796875" style="172" customWidth="1"/>
    <col min="11529" max="11529" width="11.19921875" style="172" customWidth="1"/>
    <col min="11530" max="11530" width="10.5" style="172" customWidth="1"/>
    <col min="11531" max="11531" width="16" style="172" bestFit="1" customWidth="1"/>
    <col min="11532" max="11532" width="13.19921875" style="172" customWidth="1"/>
    <col min="11533" max="11533" width="11.796875" style="172" customWidth="1"/>
    <col min="11534" max="11534" width="9.69921875" style="172" customWidth="1"/>
    <col min="11535" max="11776" width="10.69921875" style="172"/>
    <col min="11777" max="11777" width="9" style="172" customWidth="1"/>
    <col min="11778" max="11778" width="6.296875" style="172" customWidth="1"/>
    <col min="11779" max="11779" width="33.5" style="172" bestFit="1" customWidth="1"/>
    <col min="11780" max="11780" width="45.5" style="172" bestFit="1" customWidth="1"/>
    <col min="11781" max="11781" width="8.796875" style="172" customWidth="1"/>
    <col min="11782" max="11782" width="47.19921875" style="172" customWidth="1"/>
    <col min="11783" max="11783" width="10.19921875" style="172" customWidth="1"/>
    <col min="11784" max="11784" width="41.796875" style="172" customWidth="1"/>
    <col min="11785" max="11785" width="11.19921875" style="172" customWidth="1"/>
    <col min="11786" max="11786" width="10.5" style="172" customWidth="1"/>
    <col min="11787" max="11787" width="16" style="172" bestFit="1" customWidth="1"/>
    <col min="11788" max="11788" width="13.19921875" style="172" customWidth="1"/>
    <col min="11789" max="11789" width="11.796875" style="172" customWidth="1"/>
    <col min="11790" max="11790" width="9.69921875" style="172" customWidth="1"/>
    <col min="11791" max="12032" width="10.69921875" style="172"/>
    <col min="12033" max="12033" width="9" style="172" customWidth="1"/>
    <col min="12034" max="12034" width="6.296875" style="172" customWidth="1"/>
    <col min="12035" max="12035" width="33.5" style="172" bestFit="1" customWidth="1"/>
    <col min="12036" max="12036" width="45.5" style="172" bestFit="1" customWidth="1"/>
    <col min="12037" max="12037" width="8.796875" style="172" customWidth="1"/>
    <col min="12038" max="12038" width="47.19921875" style="172" customWidth="1"/>
    <col min="12039" max="12039" width="10.19921875" style="172" customWidth="1"/>
    <col min="12040" max="12040" width="41.796875" style="172" customWidth="1"/>
    <col min="12041" max="12041" width="11.19921875" style="172" customWidth="1"/>
    <col min="12042" max="12042" width="10.5" style="172" customWidth="1"/>
    <col min="12043" max="12043" width="16" style="172" bestFit="1" customWidth="1"/>
    <col min="12044" max="12044" width="13.19921875" style="172" customWidth="1"/>
    <col min="12045" max="12045" width="11.796875" style="172" customWidth="1"/>
    <col min="12046" max="12046" width="9.69921875" style="172" customWidth="1"/>
    <col min="12047" max="12288" width="10.69921875" style="172"/>
    <col min="12289" max="12289" width="9" style="172" customWidth="1"/>
    <col min="12290" max="12290" width="6.296875" style="172" customWidth="1"/>
    <col min="12291" max="12291" width="33.5" style="172" bestFit="1" customWidth="1"/>
    <col min="12292" max="12292" width="45.5" style="172" bestFit="1" customWidth="1"/>
    <col min="12293" max="12293" width="8.796875" style="172" customWidth="1"/>
    <col min="12294" max="12294" width="47.19921875" style="172" customWidth="1"/>
    <col min="12295" max="12295" width="10.19921875" style="172" customWidth="1"/>
    <col min="12296" max="12296" width="41.796875" style="172" customWidth="1"/>
    <col min="12297" max="12297" width="11.19921875" style="172" customWidth="1"/>
    <col min="12298" max="12298" width="10.5" style="172" customWidth="1"/>
    <col min="12299" max="12299" width="16" style="172" bestFit="1" customWidth="1"/>
    <col min="12300" max="12300" width="13.19921875" style="172" customWidth="1"/>
    <col min="12301" max="12301" width="11.796875" style="172" customWidth="1"/>
    <col min="12302" max="12302" width="9.69921875" style="172" customWidth="1"/>
    <col min="12303" max="12544" width="10.69921875" style="172"/>
    <col min="12545" max="12545" width="9" style="172" customWidth="1"/>
    <col min="12546" max="12546" width="6.296875" style="172" customWidth="1"/>
    <col min="12547" max="12547" width="33.5" style="172" bestFit="1" customWidth="1"/>
    <col min="12548" max="12548" width="45.5" style="172" bestFit="1" customWidth="1"/>
    <col min="12549" max="12549" width="8.796875" style="172" customWidth="1"/>
    <col min="12550" max="12550" width="47.19921875" style="172" customWidth="1"/>
    <col min="12551" max="12551" width="10.19921875" style="172" customWidth="1"/>
    <col min="12552" max="12552" width="41.796875" style="172" customWidth="1"/>
    <col min="12553" max="12553" width="11.19921875" style="172" customWidth="1"/>
    <col min="12554" max="12554" width="10.5" style="172" customWidth="1"/>
    <col min="12555" max="12555" width="16" style="172" bestFit="1" customWidth="1"/>
    <col min="12556" max="12556" width="13.19921875" style="172" customWidth="1"/>
    <col min="12557" max="12557" width="11.796875" style="172" customWidth="1"/>
    <col min="12558" max="12558" width="9.69921875" style="172" customWidth="1"/>
    <col min="12559" max="12800" width="10.69921875" style="172"/>
    <col min="12801" max="12801" width="9" style="172" customWidth="1"/>
    <col min="12802" max="12802" width="6.296875" style="172" customWidth="1"/>
    <col min="12803" max="12803" width="33.5" style="172" bestFit="1" customWidth="1"/>
    <col min="12804" max="12804" width="45.5" style="172" bestFit="1" customWidth="1"/>
    <col min="12805" max="12805" width="8.796875" style="172" customWidth="1"/>
    <col min="12806" max="12806" width="47.19921875" style="172" customWidth="1"/>
    <col min="12807" max="12807" width="10.19921875" style="172" customWidth="1"/>
    <col min="12808" max="12808" width="41.796875" style="172" customWidth="1"/>
    <col min="12809" max="12809" width="11.19921875" style="172" customWidth="1"/>
    <col min="12810" max="12810" width="10.5" style="172" customWidth="1"/>
    <col min="12811" max="12811" width="16" style="172" bestFit="1" customWidth="1"/>
    <col min="12812" max="12812" width="13.19921875" style="172" customWidth="1"/>
    <col min="12813" max="12813" width="11.796875" style="172" customWidth="1"/>
    <col min="12814" max="12814" width="9.69921875" style="172" customWidth="1"/>
    <col min="12815" max="13056" width="10.69921875" style="172"/>
    <col min="13057" max="13057" width="9" style="172" customWidth="1"/>
    <col min="13058" max="13058" width="6.296875" style="172" customWidth="1"/>
    <col min="13059" max="13059" width="33.5" style="172" bestFit="1" customWidth="1"/>
    <col min="13060" max="13060" width="45.5" style="172" bestFit="1" customWidth="1"/>
    <col min="13061" max="13061" width="8.796875" style="172" customWidth="1"/>
    <col min="13062" max="13062" width="47.19921875" style="172" customWidth="1"/>
    <col min="13063" max="13063" width="10.19921875" style="172" customWidth="1"/>
    <col min="13064" max="13064" width="41.796875" style="172" customWidth="1"/>
    <col min="13065" max="13065" width="11.19921875" style="172" customWidth="1"/>
    <col min="13066" max="13066" width="10.5" style="172" customWidth="1"/>
    <col min="13067" max="13067" width="16" style="172" bestFit="1" customWidth="1"/>
    <col min="13068" max="13068" width="13.19921875" style="172" customWidth="1"/>
    <col min="13069" max="13069" width="11.796875" style="172" customWidth="1"/>
    <col min="13070" max="13070" width="9.69921875" style="172" customWidth="1"/>
    <col min="13071" max="13312" width="10.69921875" style="172"/>
    <col min="13313" max="13313" width="9" style="172" customWidth="1"/>
    <col min="13314" max="13314" width="6.296875" style="172" customWidth="1"/>
    <col min="13315" max="13315" width="33.5" style="172" bestFit="1" customWidth="1"/>
    <col min="13316" max="13316" width="45.5" style="172" bestFit="1" customWidth="1"/>
    <col min="13317" max="13317" width="8.796875" style="172" customWidth="1"/>
    <col min="13318" max="13318" width="47.19921875" style="172" customWidth="1"/>
    <col min="13319" max="13319" width="10.19921875" style="172" customWidth="1"/>
    <col min="13320" max="13320" width="41.796875" style="172" customWidth="1"/>
    <col min="13321" max="13321" width="11.19921875" style="172" customWidth="1"/>
    <col min="13322" max="13322" width="10.5" style="172" customWidth="1"/>
    <col min="13323" max="13323" width="16" style="172" bestFit="1" customWidth="1"/>
    <col min="13324" max="13324" width="13.19921875" style="172" customWidth="1"/>
    <col min="13325" max="13325" width="11.796875" style="172" customWidth="1"/>
    <col min="13326" max="13326" width="9.69921875" style="172" customWidth="1"/>
    <col min="13327" max="13568" width="10.69921875" style="172"/>
    <col min="13569" max="13569" width="9" style="172" customWidth="1"/>
    <col min="13570" max="13570" width="6.296875" style="172" customWidth="1"/>
    <col min="13571" max="13571" width="33.5" style="172" bestFit="1" customWidth="1"/>
    <col min="13572" max="13572" width="45.5" style="172" bestFit="1" customWidth="1"/>
    <col min="13573" max="13573" width="8.796875" style="172" customWidth="1"/>
    <col min="13574" max="13574" width="47.19921875" style="172" customWidth="1"/>
    <col min="13575" max="13575" width="10.19921875" style="172" customWidth="1"/>
    <col min="13576" max="13576" width="41.796875" style="172" customWidth="1"/>
    <col min="13577" max="13577" width="11.19921875" style="172" customWidth="1"/>
    <col min="13578" max="13578" width="10.5" style="172" customWidth="1"/>
    <col min="13579" max="13579" width="16" style="172" bestFit="1" customWidth="1"/>
    <col min="13580" max="13580" width="13.19921875" style="172" customWidth="1"/>
    <col min="13581" max="13581" width="11.796875" style="172" customWidth="1"/>
    <col min="13582" max="13582" width="9.69921875" style="172" customWidth="1"/>
    <col min="13583" max="13824" width="10.69921875" style="172"/>
    <col min="13825" max="13825" width="9" style="172" customWidth="1"/>
    <col min="13826" max="13826" width="6.296875" style="172" customWidth="1"/>
    <col min="13827" max="13827" width="33.5" style="172" bestFit="1" customWidth="1"/>
    <col min="13828" max="13828" width="45.5" style="172" bestFit="1" customWidth="1"/>
    <col min="13829" max="13829" width="8.796875" style="172" customWidth="1"/>
    <col min="13830" max="13830" width="47.19921875" style="172" customWidth="1"/>
    <col min="13831" max="13831" width="10.19921875" style="172" customWidth="1"/>
    <col min="13832" max="13832" width="41.796875" style="172" customWidth="1"/>
    <col min="13833" max="13833" width="11.19921875" style="172" customWidth="1"/>
    <col min="13834" max="13834" width="10.5" style="172" customWidth="1"/>
    <col min="13835" max="13835" width="16" style="172" bestFit="1" customWidth="1"/>
    <col min="13836" max="13836" width="13.19921875" style="172" customWidth="1"/>
    <col min="13837" max="13837" width="11.796875" style="172" customWidth="1"/>
    <col min="13838" max="13838" width="9.69921875" style="172" customWidth="1"/>
    <col min="13839" max="14080" width="10.69921875" style="172"/>
    <col min="14081" max="14081" width="9" style="172" customWidth="1"/>
    <col min="14082" max="14082" width="6.296875" style="172" customWidth="1"/>
    <col min="14083" max="14083" width="33.5" style="172" bestFit="1" customWidth="1"/>
    <col min="14084" max="14084" width="45.5" style="172" bestFit="1" customWidth="1"/>
    <col min="14085" max="14085" width="8.796875" style="172" customWidth="1"/>
    <col min="14086" max="14086" width="47.19921875" style="172" customWidth="1"/>
    <col min="14087" max="14087" width="10.19921875" style="172" customWidth="1"/>
    <col min="14088" max="14088" width="41.796875" style="172" customWidth="1"/>
    <col min="14089" max="14089" width="11.19921875" style="172" customWidth="1"/>
    <col min="14090" max="14090" width="10.5" style="172" customWidth="1"/>
    <col min="14091" max="14091" width="16" style="172" bestFit="1" customWidth="1"/>
    <col min="14092" max="14092" width="13.19921875" style="172" customWidth="1"/>
    <col min="14093" max="14093" width="11.796875" style="172" customWidth="1"/>
    <col min="14094" max="14094" width="9.69921875" style="172" customWidth="1"/>
    <col min="14095" max="14336" width="10.69921875" style="172"/>
    <col min="14337" max="14337" width="9" style="172" customWidth="1"/>
    <col min="14338" max="14338" width="6.296875" style="172" customWidth="1"/>
    <col min="14339" max="14339" width="33.5" style="172" bestFit="1" customWidth="1"/>
    <col min="14340" max="14340" width="45.5" style="172" bestFit="1" customWidth="1"/>
    <col min="14341" max="14341" width="8.796875" style="172" customWidth="1"/>
    <col min="14342" max="14342" width="47.19921875" style="172" customWidth="1"/>
    <col min="14343" max="14343" width="10.19921875" style="172" customWidth="1"/>
    <col min="14344" max="14344" width="41.796875" style="172" customWidth="1"/>
    <col min="14345" max="14345" width="11.19921875" style="172" customWidth="1"/>
    <col min="14346" max="14346" width="10.5" style="172" customWidth="1"/>
    <col min="14347" max="14347" width="16" style="172" bestFit="1" customWidth="1"/>
    <col min="14348" max="14348" width="13.19921875" style="172" customWidth="1"/>
    <col min="14349" max="14349" width="11.796875" style="172" customWidth="1"/>
    <col min="14350" max="14350" width="9.69921875" style="172" customWidth="1"/>
    <col min="14351" max="14592" width="10.69921875" style="172"/>
    <col min="14593" max="14593" width="9" style="172" customWidth="1"/>
    <col min="14594" max="14594" width="6.296875" style="172" customWidth="1"/>
    <col min="14595" max="14595" width="33.5" style="172" bestFit="1" customWidth="1"/>
    <col min="14596" max="14596" width="45.5" style="172" bestFit="1" customWidth="1"/>
    <col min="14597" max="14597" width="8.796875" style="172" customWidth="1"/>
    <col min="14598" max="14598" width="47.19921875" style="172" customWidth="1"/>
    <col min="14599" max="14599" width="10.19921875" style="172" customWidth="1"/>
    <col min="14600" max="14600" width="41.796875" style="172" customWidth="1"/>
    <col min="14601" max="14601" width="11.19921875" style="172" customWidth="1"/>
    <col min="14602" max="14602" width="10.5" style="172" customWidth="1"/>
    <col min="14603" max="14603" width="16" style="172" bestFit="1" customWidth="1"/>
    <col min="14604" max="14604" width="13.19921875" style="172" customWidth="1"/>
    <col min="14605" max="14605" width="11.796875" style="172" customWidth="1"/>
    <col min="14606" max="14606" width="9.69921875" style="172" customWidth="1"/>
    <col min="14607" max="14848" width="10.69921875" style="172"/>
    <col min="14849" max="14849" width="9" style="172" customWidth="1"/>
    <col min="14850" max="14850" width="6.296875" style="172" customWidth="1"/>
    <col min="14851" max="14851" width="33.5" style="172" bestFit="1" customWidth="1"/>
    <col min="14852" max="14852" width="45.5" style="172" bestFit="1" customWidth="1"/>
    <col min="14853" max="14853" width="8.796875" style="172" customWidth="1"/>
    <col min="14854" max="14854" width="47.19921875" style="172" customWidth="1"/>
    <col min="14855" max="14855" width="10.19921875" style="172" customWidth="1"/>
    <col min="14856" max="14856" width="41.796875" style="172" customWidth="1"/>
    <col min="14857" max="14857" width="11.19921875" style="172" customWidth="1"/>
    <col min="14858" max="14858" width="10.5" style="172" customWidth="1"/>
    <col min="14859" max="14859" width="16" style="172" bestFit="1" customWidth="1"/>
    <col min="14860" max="14860" width="13.19921875" style="172" customWidth="1"/>
    <col min="14861" max="14861" width="11.796875" style="172" customWidth="1"/>
    <col min="14862" max="14862" width="9.69921875" style="172" customWidth="1"/>
    <col min="14863" max="15104" width="10.69921875" style="172"/>
    <col min="15105" max="15105" width="9" style="172" customWidth="1"/>
    <col min="15106" max="15106" width="6.296875" style="172" customWidth="1"/>
    <col min="15107" max="15107" width="33.5" style="172" bestFit="1" customWidth="1"/>
    <col min="15108" max="15108" width="45.5" style="172" bestFit="1" customWidth="1"/>
    <col min="15109" max="15109" width="8.796875" style="172" customWidth="1"/>
    <col min="15110" max="15110" width="47.19921875" style="172" customWidth="1"/>
    <col min="15111" max="15111" width="10.19921875" style="172" customWidth="1"/>
    <col min="15112" max="15112" width="41.796875" style="172" customWidth="1"/>
    <col min="15113" max="15113" width="11.19921875" style="172" customWidth="1"/>
    <col min="15114" max="15114" width="10.5" style="172" customWidth="1"/>
    <col min="15115" max="15115" width="16" style="172" bestFit="1" customWidth="1"/>
    <col min="15116" max="15116" width="13.19921875" style="172" customWidth="1"/>
    <col min="15117" max="15117" width="11.796875" style="172" customWidth="1"/>
    <col min="15118" max="15118" width="9.69921875" style="172" customWidth="1"/>
    <col min="15119" max="15360" width="10.69921875" style="172"/>
    <col min="15361" max="15361" width="9" style="172" customWidth="1"/>
    <col min="15362" max="15362" width="6.296875" style="172" customWidth="1"/>
    <col min="15363" max="15363" width="33.5" style="172" bestFit="1" customWidth="1"/>
    <col min="15364" max="15364" width="45.5" style="172" bestFit="1" customWidth="1"/>
    <col min="15365" max="15365" width="8.796875" style="172" customWidth="1"/>
    <col min="15366" max="15366" width="47.19921875" style="172" customWidth="1"/>
    <col min="15367" max="15367" width="10.19921875" style="172" customWidth="1"/>
    <col min="15368" max="15368" width="41.796875" style="172" customWidth="1"/>
    <col min="15369" max="15369" width="11.19921875" style="172" customWidth="1"/>
    <col min="15370" max="15370" width="10.5" style="172" customWidth="1"/>
    <col min="15371" max="15371" width="16" style="172" bestFit="1" customWidth="1"/>
    <col min="15372" max="15372" width="13.19921875" style="172" customWidth="1"/>
    <col min="15373" max="15373" width="11.796875" style="172" customWidth="1"/>
    <col min="15374" max="15374" width="9.69921875" style="172" customWidth="1"/>
    <col min="15375" max="15616" width="10.69921875" style="172"/>
    <col min="15617" max="15617" width="9" style="172" customWidth="1"/>
    <col min="15618" max="15618" width="6.296875" style="172" customWidth="1"/>
    <col min="15619" max="15619" width="33.5" style="172" bestFit="1" customWidth="1"/>
    <col min="15620" max="15620" width="45.5" style="172" bestFit="1" customWidth="1"/>
    <col min="15621" max="15621" width="8.796875" style="172" customWidth="1"/>
    <col min="15622" max="15622" width="47.19921875" style="172" customWidth="1"/>
    <col min="15623" max="15623" width="10.19921875" style="172" customWidth="1"/>
    <col min="15624" max="15624" width="41.796875" style="172" customWidth="1"/>
    <col min="15625" max="15625" width="11.19921875" style="172" customWidth="1"/>
    <col min="15626" max="15626" width="10.5" style="172" customWidth="1"/>
    <col min="15627" max="15627" width="16" style="172" bestFit="1" customWidth="1"/>
    <col min="15628" max="15628" width="13.19921875" style="172" customWidth="1"/>
    <col min="15629" max="15629" width="11.796875" style="172" customWidth="1"/>
    <col min="15630" max="15630" width="9.69921875" style="172" customWidth="1"/>
    <col min="15631" max="15872" width="10.69921875" style="172"/>
    <col min="15873" max="15873" width="9" style="172" customWidth="1"/>
    <col min="15874" max="15874" width="6.296875" style="172" customWidth="1"/>
    <col min="15875" max="15875" width="33.5" style="172" bestFit="1" customWidth="1"/>
    <col min="15876" max="15876" width="45.5" style="172" bestFit="1" customWidth="1"/>
    <col min="15877" max="15877" width="8.796875" style="172" customWidth="1"/>
    <col min="15878" max="15878" width="47.19921875" style="172" customWidth="1"/>
    <col min="15879" max="15879" width="10.19921875" style="172" customWidth="1"/>
    <col min="15880" max="15880" width="41.796875" style="172" customWidth="1"/>
    <col min="15881" max="15881" width="11.19921875" style="172" customWidth="1"/>
    <col min="15882" max="15882" width="10.5" style="172" customWidth="1"/>
    <col min="15883" max="15883" width="16" style="172" bestFit="1" customWidth="1"/>
    <col min="15884" max="15884" width="13.19921875" style="172" customWidth="1"/>
    <col min="15885" max="15885" width="11.796875" style="172" customWidth="1"/>
    <col min="15886" max="15886" width="9.69921875" style="172" customWidth="1"/>
    <col min="15887" max="16128" width="10.69921875" style="172"/>
    <col min="16129" max="16129" width="9" style="172" customWidth="1"/>
    <col min="16130" max="16130" width="6.296875" style="172" customWidth="1"/>
    <col min="16131" max="16131" width="33.5" style="172" bestFit="1" customWidth="1"/>
    <col min="16132" max="16132" width="45.5" style="172" bestFit="1" customWidth="1"/>
    <col min="16133" max="16133" width="8.796875" style="172" customWidth="1"/>
    <col min="16134" max="16134" width="47.19921875" style="172" customWidth="1"/>
    <col min="16135" max="16135" width="10.19921875" style="172" customWidth="1"/>
    <col min="16136" max="16136" width="41.796875" style="172" customWidth="1"/>
    <col min="16137" max="16137" width="11.19921875" style="172" customWidth="1"/>
    <col min="16138" max="16138" width="10.5" style="172" customWidth="1"/>
    <col min="16139" max="16139" width="16" style="172" bestFit="1" customWidth="1"/>
    <col min="16140" max="16140" width="13.19921875" style="172" customWidth="1"/>
    <col min="16141" max="16141" width="11.796875" style="172" customWidth="1"/>
    <col min="16142" max="16142" width="9.69921875" style="172" customWidth="1"/>
    <col min="16143" max="16384" width="10.69921875" style="172"/>
  </cols>
  <sheetData>
    <row r="1" spans="1:27" ht="14.25" customHeight="1" x14ac:dyDescent="0.35">
      <c r="A1" s="171"/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200"/>
      <c r="U1" s="200"/>
      <c r="V1" s="200"/>
      <c r="W1" s="200"/>
      <c r="X1" s="200"/>
    </row>
    <row r="2" spans="1:27" ht="14.25" customHeight="1" x14ac:dyDescent="0.35">
      <c r="A2" s="173" t="s">
        <v>560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201"/>
      <c r="U2" s="201"/>
      <c r="V2" s="201"/>
      <c r="W2" s="201"/>
      <c r="X2" s="201"/>
    </row>
    <row r="3" spans="1:27" ht="14.25" customHeight="1" x14ac:dyDescent="0.35">
      <c r="A3" s="171"/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200"/>
      <c r="U3" s="200"/>
      <c r="V3" s="200"/>
      <c r="W3" s="200"/>
      <c r="X3" s="200"/>
    </row>
    <row r="4" spans="1:27" ht="15.5" x14ac:dyDescent="0.35">
      <c r="A4" s="174" t="s">
        <v>43</v>
      </c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5"/>
      <c r="M4" s="175"/>
      <c r="N4" s="174" t="s">
        <v>1</v>
      </c>
      <c r="P4" s="199"/>
      <c r="Q4" s="199"/>
      <c r="R4" s="199"/>
      <c r="S4" s="202" t="s">
        <v>166</v>
      </c>
      <c r="U4" s="199"/>
      <c r="V4" s="199"/>
      <c r="W4" s="199"/>
      <c r="X4" s="199"/>
    </row>
    <row r="5" spans="1:27" x14ac:dyDescent="0.35">
      <c r="A5" s="176" t="s">
        <v>190</v>
      </c>
      <c r="B5" s="176" t="s">
        <v>191</v>
      </c>
      <c r="C5" s="176" t="s">
        <v>192</v>
      </c>
      <c r="D5" s="176" t="s">
        <v>193</v>
      </c>
      <c r="E5" s="176" t="s">
        <v>194</v>
      </c>
      <c r="F5" s="176" t="s">
        <v>227</v>
      </c>
      <c r="G5" s="176" t="s">
        <v>196</v>
      </c>
      <c r="H5" s="176" t="s">
        <v>197</v>
      </c>
      <c r="I5" s="176" t="s">
        <v>198</v>
      </c>
      <c r="J5" s="176" t="s">
        <v>2</v>
      </c>
      <c r="K5" s="177" t="s">
        <v>199</v>
      </c>
      <c r="L5" s="178" t="s">
        <v>214</v>
      </c>
      <c r="M5" s="178" t="s">
        <v>217</v>
      </c>
      <c r="N5" s="178" t="s">
        <v>254</v>
      </c>
      <c r="O5" s="178" t="s">
        <v>218</v>
      </c>
      <c r="P5" s="178" t="s">
        <v>219</v>
      </c>
      <c r="Q5" s="198" t="s">
        <v>228</v>
      </c>
      <c r="R5" s="198" t="s">
        <v>229</v>
      </c>
      <c r="S5" s="198" t="s">
        <v>255</v>
      </c>
      <c r="T5" s="198" t="s">
        <v>230</v>
      </c>
      <c r="U5" s="198" t="s">
        <v>231</v>
      </c>
      <c r="W5" s="172" t="s">
        <v>354</v>
      </c>
    </row>
    <row r="6" spans="1:27" x14ac:dyDescent="0.35">
      <c r="A6" s="176">
        <v>1</v>
      </c>
      <c r="B6" s="176">
        <v>3</v>
      </c>
      <c r="C6" s="179" t="s">
        <v>564</v>
      </c>
      <c r="D6" s="179" t="s">
        <v>565</v>
      </c>
      <c r="E6" s="179" t="s">
        <v>248</v>
      </c>
      <c r="F6" s="179" t="s">
        <v>566</v>
      </c>
      <c r="G6" s="179" t="s">
        <v>653</v>
      </c>
      <c r="H6" s="179" t="s">
        <v>294</v>
      </c>
      <c r="I6" s="180" t="s">
        <v>200</v>
      </c>
      <c r="J6" s="180">
        <v>1</v>
      </c>
      <c r="K6" s="181"/>
      <c r="L6" s="183" t="str">
        <f>IF(AND(E6="M",Tabla15[[#This Row],[POS]]&lt;&gt;"AB",Tabla15[[#This Row],[POS]]&lt;&gt;"DSQ"),COUNTIF($E$6:E6,"M"),"")</f>
        <v/>
      </c>
      <c r="M6" s="183" t="str">
        <f>IF(E6="M",IF(Tabla15[[#This Row],[Tiempo]]="AB","",LOOKUP(Tabla15[[#This Row],[CLAS SCRATCH]],'Datos puntos'!$A$2:$A$23,'Datos puntos'!$B$2:$B$23)),"")</f>
        <v/>
      </c>
      <c r="N6" s="183" t="str">
        <f>IF(AND(E6="M",Tabla15[[#This Row],[POS]]&lt;&gt;"AB",Tabla15[[#This Row],[POS]]&lt;&gt;"DSQ"),COUNTIFS($J$6:J6,Tabla15[[#This Row],[Clase]],$E$6:E6,"M"),"")</f>
        <v/>
      </c>
      <c r="O6" s="183" t="str">
        <f>IF(E6="M",IF(Tabla15[[#This Row],[Tiempo]]="AB","",LOOKUP(Tabla15[[#This Row],[CLAS CLASE]],'Datos puntos'!$A$25:$A$53,'Datos puntos'!$B$25:$B$53)),"")</f>
        <v/>
      </c>
      <c r="P6" s="183" t="str">
        <f>IF(Tabla15[[#This Row],[Puntos scratch]]="","NO PUNTÚA",SUM(Tabla15[[#This Row],[Puntos scratch]],Tabla15[[#This Row],[Puntos clase]])*2)</f>
        <v>NO PUNTÚA</v>
      </c>
      <c r="Q6" s="183" t="str">
        <f>IF(AND(G6="M",Tabla15[[#This Row],[POS]]&lt;&gt;"AB",Tabla15[[#This Row],[POS]]&lt;&gt;"DSQ"),COUNTIF($G$6:G6,"M"),"")</f>
        <v/>
      </c>
      <c r="R6" s="183" t="str">
        <f>IF(G6="M",IF(Tabla15[[#This Row],[Tiempo]]="AB","",LOOKUP(Tabla15[[#This Row],[CLAS SCRATCH2]],'Datos puntos'!$A$2:$A$23,'Datos puntos'!$B$2:$B$23)),"")</f>
        <v/>
      </c>
      <c r="S6" s="183" t="str">
        <f>IF(AND(G6="M",Tabla15[[#This Row],[POS]]&lt;&gt;"AB",Tabla15[[#This Row],[POS]]&lt;&gt;"DSQ"),COUNTIFS($J$6:J6,Tabla15[[#This Row],[Clase]],$G$6:G6,"M"),"")</f>
        <v/>
      </c>
      <c r="T6" s="183" t="str">
        <f>IF(G6="M",IF(Tabla15[[#This Row],[Tiempo]]="AB","",LOOKUP(Tabla15[[#This Row],[CLAS CLASE2]],'Datos puntos'!$A$25:$A$53,'Datos puntos'!$B$25:$B$53)),"")</f>
        <v/>
      </c>
      <c r="U6" s="183" t="str">
        <f>IF(Tabla15[[#This Row],[Puntos scratch3]]="","NO PUNTÚA",SUM(Tabla15[[#This Row],[Puntos scratch3]],Tabla15[[#This Row],[Puntos clase5]])*2)</f>
        <v>NO PUNTÚA</v>
      </c>
      <c r="W6" s="241">
        <v>25</v>
      </c>
      <c r="X6" s="250" t="s">
        <v>567</v>
      </c>
      <c r="Z6" s="250" t="s">
        <v>567</v>
      </c>
      <c r="AA6" s="172">
        <v>27</v>
      </c>
    </row>
    <row r="7" spans="1:27" s="185" customFormat="1" x14ac:dyDescent="0.35">
      <c r="A7" s="186">
        <v>2</v>
      </c>
      <c r="B7" s="176">
        <v>9</v>
      </c>
      <c r="C7" s="244" t="s">
        <v>567</v>
      </c>
      <c r="D7" s="179" t="s">
        <v>568</v>
      </c>
      <c r="E7" s="179" t="s">
        <v>603</v>
      </c>
      <c r="F7" s="179" t="s">
        <v>569</v>
      </c>
      <c r="G7" s="179" t="s">
        <v>603</v>
      </c>
      <c r="H7" s="179" t="s">
        <v>239</v>
      </c>
      <c r="I7" s="180" t="s">
        <v>24</v>
      </c>
      <c r="J7" s="180">
        <v>2</v>
      </c>
      <c r="K7" s="181"/>
      <c r="L7" s="183" t="str">
        <f>IF(AND(E7="M",Tabla15[[#This Row],[POS]]&lt;&gt;"AB",Tabla15[[#This Row],[POS]]&lt;&gt;"DSQ"),COUNTIF($E$6:E7,"M"),"")</f>
        <v/>
      </c>
      <c r="M7" s="183" t="str">
        <f>IF(E7="M",IF(Tabla15[[#This Row],[Tiempo]]="AB","",LOOKUP(Tabla15[[#This Row],[CLAS SCRATCH]],'Datos puntos'!$A$2:$A$23,'Datos puntos'!$B$2:$B$23)),"")</f>
        <v/>
      </c>
      <c r="N7" s="183" t="str">
        <f>IF(AND(E7="M",Tabla15[[#This Row],[POS]]&lt;&gt;"AB",Tabla15[[#This Row],[POS]]&lt;&gt;"DSQ"),COUNTIFS($J$6:J7,Tabla15[[#This Row],[Clase]],$E$6:E7,"M"),"")</f>
        <v/>
      </c>
      <c r="O7" s="183" t="str">
        <f>IF(E7="M",IF(Tabla15[[#This Row],[Tiempo]]="AB","",LOOKUP(Tabla15[[#This Row],[CLAS CLASE]],'Datos puntos'!$A$25:$A$53,'Datos puntos'!$B$25:$B$53)),"")</f>
        <v/>
      </c>
      <c r="P7" s="183" t="str">
        <f>IF(Tabla15[[#This Row],[Puntos scratch]]="","NO PUNTÚA",SUM(Tabla15[[#This Row],[Puntos scratch]],Tabla15[[#This Row],[Puntos clase]])*2)</f>
        <v>NO PUNTÚA</v>
      </c>
      <c r="Q7" s="183" t="str">
        <f>IF(AND(G7="M",Tabla15[[#This Row],[POS]]&lt;&gt;"AB",Tabla15[[#This Row],[POS]]&lt;&gt;"DSQ"),COUNTIF($G$6:G7,"M"),"")</f>
        <v/>
      </c>
      <c r="R7" s="183" t="str">
        <f>IF(G7="M",IF(Tabla15[[#This Row],[Tiempo]]="AB","",LOOKUP(Tabla15[[#This Row],[CLAS SCRATCH2]],'Datos puntos'!$A$2:$A$23,'Datos puntos'!$B$2:$B$23)),"")</f>
        <v/>
      </c>
      <c r="S7" s="183" t="str">
        <f>IF(AND(G7="M",Tabla15[[#This Row],[POS]]&lt;&gt;"AB",Tabla15[[#This Row],[POS]]&lt;&gt;"DSQ"),COUNTIFS($J$6:J7,Tabla15[[#This Row],[Clase]],$G$6:G7,"M"),"")</f>
        <v/>
      </c>
      <c r="T7" s="183" t="str">
        <f>IF(G7="M",IF(Tabla15[[#This Row],[Tiempo]]="AB","",LOOKUP(Tabla15[[#This Row],[CLAS CLASE2]],'Datos puntos'!$A$25:$A$53,'Datos puntos'!$B$25:$B$53)),"")</f>
        <v/>
      </c>
      <c r="U7" s="183" t="str">
        <f>IF(Tabla15[[#This Row],[Puntos scratch3]]="","NO PUNTÚA",SUM(Tabla15[[#This Row],[Puntos scratch3]],Tabla15[[#This Row],[Puntos clase5]])*2)</f>
        <v>NO PUNTÚA</v>
      </c>
      <c r="W7" s="241">
        <v>20</v>
      </c>
      <c r="X7" s="251" t="s">
        <v>169</v>
      </c>
      <c r="Z7" s="251" t="s">
        <v>169</v>
      </c>
      <c r="AA7" s="172">
        <v>52</v>
      </c>
    </row>
    <row r="8" spans="1:27" x14ac:dyDescent="0.35">
      <c r="A8" s="176">
        <v>3</v>
      </c>
      <c r="B8" s="176">
        <v>5</v>
      </c>
      <c r="C8" s="246" t="s">
        <v>169</v>
      </c>
      <c r="D8" s="179" t="s">
        <v>574</v>
      </c>
      <c r="E8" s="179" t="s">
        <v>168</v>
      </c>
      <c r="F8" s="179" t="s">
        <v>575</v>
      </c>
      <c r="G8" s="179" t="s">
        <v>168</v>
      </c>
      <c r="H8" s="179" t="s">
        <v>170</v>
      </c>
      <c r="I8" s="180" t="s">
        <v>24</v>
      </c>
      <c r="J8" s="180">
        <v>2</v>
      </c>
      <c r="K8" s="181"/>
      <c r="L8" s="183">
        <f>IF(AND(E8="M",Tabla15[[#This Row],[POS]]&lt;&gt;"AB",Tabla15[[#This Row],[POS]]&lt;&gt;"DSQ"),COUNTIF($E$6:E8,"M"),"")</f>
        <v>1</v>
      </c>
      <c r="M8" s="183">
        <f>IF(E8="M",IF(Tabla15[[#This Row],[Tiempo]]="AB","",LOOKUP(Tabla15[[#This Row],[CLAS SCRATCH]],'Datos puntos'!$A$2:$A$23,'Datos puntos'!$B$2:$B$23)),"")</f>
        <v>25</v>
      </c>
      <c r="N8" s="183">
        <f>IF(AND(E8="M",Tabla15[[#This Row],[POS]]&lt;&gt;"AB",Tabla15[[#This Row],[POS]]&lt;&gt;"DSQ"),COUNTIFS($J$6:J8,Tabla15[[#This Row],[Clase]],$E$6:E8,"M"),"")</f>
        <v>1</v>
      </c>
      <c r="O8" s="183">
        <f>IF(E8="M",IF(Tabla15[[#This Row],[Tiempo]]="AB","",LOOKUP(Tabla15[[#This Row],[CLAS CLASE]],'Datos puntos'!$A$25:$A$53,'Datos puntos'!$B$25:$B$53)),"")</f>
        <v>10</v>
      </c>
      <c r="P8" s="183">
        <f>IF(Tabla15[[#This Row],[Puntos scratch]]="","NO PUNTÚA",SUM(Tabla15[[#This Row],[Puntos scratch]],Tabla15[[#This Row],[Puntos clase]])*2)</f>
        <v>70</v>
      </c>
      <c r="Q8" s="183">
        <f>IF(AND(G8="M",Tabla15[[#This Row],[POS]]&lt;&gt;"AB",Tabla15[[#This Row],[POS]]&lt;&gt;"DSQ"),COUNTIF($G$6:G8,"M"),"")</f>
        <v>1</v>
      </c>
      <c r="R8" s="183">
        <f>IF(G8="M",IF(Tabla15[[#This Row],[Tiempo]]="AB","",LOOKUP(Tabla15[[#This Row],[CLAS SCRATCH2]],'Datos puntos'!$A$2:$A$23,'Datos puntos'!$B$2:$B$23)),"")</f>
        <v>25</v>
      </c>
      <c r="S8" s="183">
        <f>IF(AND(G8="M",Tabla15[[#This Row],[POS]]&lt;&gt;"AB",Tabla15[[#This Row],[POS]]&lt;&gt;"DSQ"),COUNTIFS($J$6:J8,Tabla15[[#This Row],[Clase]],$G$6:G8,"M"),"")</f>
        <v>1</v>
      </c>
      <c r="T8" s="183">
        <f>IF(G8="M",IF(Tabla15[[#This Row],[Tiempo]]="AB","",LOOKUP(Tabla15[[#This Row],[CLAS CLASE2]],'Datos puntos'!$A$25:$A$53,'Datos puntos'!$B$25:$B$53)),"")</f>
        <v>10</v>
      </c>
      <c r="U8" s="183">
        <f>IF(Tabla15[[#This Row],[Puntos scratch3]]="","NO PUNTÚA",SUM(Tabla15[[#This Row],[Puntos scratch3]],Tabla15[[#This Row],[Puntos clase5]])*2)</f>
        <v>70</v>
      </c>
      <c r="W8" s="241">
        <v>17</v>
      </c>
      <c r="X8" s="251" t="s">
        <v>169</v>
      </c>
      <c r="Z8" s="254" t="s">
        <v>588</v>
      </c>
      <c r="AA8" s="185">
        <v>13</v>
      </c>
    </row>
    <row r="9" spans="1:27" x14ac:dyDescent="0.35">
      <c r="A9" s="176">
        <v>4</v>
      </c>
      <c r="B9" s="176">
        <v>4</v>
      </c>
      <c r="C9" s="246" t="s">
        <v>169</v>
      </c>
      <c r="D9" s="179" t="s">
        <v>576</v>
      </c>
      <c r="E9" s="179" t="s">
        <v>168</v>
      </c>
      <c r="F9" s="179" t="s">
        <v>577</v>
      </c>
      <c r="G9" s="179" t="s">
        <v>168</v>
      </c>
      <c r="H9" s="179" t="s">
        <v>170</v>
      </c>
      <c r="I9" s="180" t="s">
        <v>24</v>
      </c>
      <c r="J9" s="180">
        <v>2</v>
      </c>
      <c r="K9" s="181"/>
      <c r="L9" s="183">
        <f>IF(AND(E9="M",Tabla15[[#This Row],[POS]]&lt;&gt;"AB",Tabla15[[#This Row],[POS]]&lt;&gt;"DSQ"),COUNTIF($E$6:E9,"M"),"")</f>
        <v>2</v>
      </c>
      <c r="M9" s="183">
        <f>IF(E9="M",IF(Tabla15[[#This Row],[Tiempo]]="AB","",LOOKUP(Tabla15[[#This Row],[CLAS SCRATCH]],'Datos puntos'!$A$2:$A$23,'Datos puntos'!$B$2:$B$23)),"")</f>
        <v>20</v>
      </c>
      <c r="N9" s="183">
        <f>IF(AND(E9="M",Tabla15[[#This Row],[POS]]&lt;&gt;"AB",Tabla15[[#This Row],[POS]]&lt;&gt;"DSQ"),COUNTIFS($J$6:J9,Tabla15[[#This Row],[Clase]],$E$6:E9,"M"),"")</f>
        <v>2</v>
      </c>
      <c r="O9" s="183">
        <f>IF(E9="M",IF(Tabla15[[#This Row],[Tiempo]]="AB","",LOOKUP(Tabla15[[#This Row],[CLAS CLASE]],'Datos puntos'!$A$25:$A$53,'Datos puntos'!$B$25:$B$53)),"")</f>
        <v>8</v>
      </c>
      <c r="P9" s="183">
        <f>IF(Tabla15[[#This Row],[Puntos scratch]]="","NO PUNTÚA",SUM(Tabla15[[#This Row],[Puntos scratch]],Tabla15[[#This Row],[Puntos clase]])*2)</f>
        <v>56</v>
      </c>
      <c r="Q9" s="183">
        <f>IF(AND(G9="M",Tabla15[[#This Row],[POS]]&lt;&gt;"AB",Tabla15[[#This Row],[POS]]&lt;&gt;"DSQ"),COUNTIF($G$6:G9,"M"),"")</f>
        <v>2</v>
      </c>
      <c r="R9" s="183">
        <f>IF(G9="M",IF(Tabla15[[#This Row],[Tiempo]]="AB","",LOOKUP(Tabla15[[#This Row],[CLAS SCRATCH2]],'Datos puntos'!$A$2:$A$23,'Datos puntos'!$B$2:$B$23)),"")</f>
        <v>20</v>
      </c>
      <c r="S9" s="183">
        <f>IF(AND(G9="M",Tabla15[[#This Row],[POS]]&lt;&gt;"AB",Tabla15[[#This Row],[POS]]&lt;&gt;"DSQ"),COUNTIFS($J$6:J9,Tabla15[[#This Row],[Clase]],$G$6:G9,"M"),"")</f>
        <v>2</v>
      </c>
      <c r="T9" s="183">
        <f>IF(G9="M",IF(Tabla15[[#This Row],[Tiempo]]="AB","",LOOKUP(Tabla15[[#This Row],[CLAS CLASE2]],'Datos puntos'!$A$25:$A$53,'Datos puntos'!$B$25:$B$53)),"")</f>
        <v>8</v>
      </c>
      <c r="U9" s="183">
        <f>IF(Tabla15[[#This Row],[Puntos scratch3]]="","NO PUNTÚA",SUM(Tabla15[[#This Row],[Puntos scratch3]],Tabla15[[#This Row],[Puntos clase5]])*2)</f>
        <v>56</v>
      </c>
      <c r="W9" s="241">
        <v>15</v>
      </c>
      <c r="X9" s="251" t="s">
        <v>169</v>
      </c>
      <c r="Z9" s="252" t="s">
        <v>172</v>
      </c>
      <c r="AA9" s="172">
        <v>16</v>
      </c>
    </row>
    <row r="10" spans="1:27" x14ac:dyDescent="0.35">
      <c r="A10" s="176">
        <v>5</v>
      </c>
      <c r="B10" s="176">
        <v>2</v>
      </c>
      <c r="C10" s="179" t="s">
        <v>578</v>
      </c>
      <c r="D10" s="179" t="s">
        <v>654</v>
      </c>
      <c r="E10" s="243" t="s">
        <v>168</v>
      </c>
      <c r="F10" s="179" t="s">
        <v>580</v>
      </c>
      <c r="G10" s="179" t="s">
        <v>579</v>
      </c>
      <c r="H10" s="179" t="s">
        <v>378</v>
      </c>
      <c r="I10" s="180" t="s">
        <v>200</v>
      </c>
      <c r="J10" s="180">
        <v>1</v>
      </c>
      <c r="K10" s="181"/>
      <c r="L10" s="183">
        <f>IF(AND(E10="M",Tabla15[[#This Row],[POS]]&lt;&gt;"AB",Tabla15[[#This Row],[POS]]&lt;&gt;"DSQ"),COUNTIF($E$6:E10,"M"),"")</f>
        <v>3</v>
      </c>
      <c r="M10" s="183">
        <f>IF(E10="M",IF(Tabla15[[#This Row],[Tiempo]]="AB","",LOOKUP(Tabla15[[#This Row],[CLAS SCRATCH]],'Datos puntos'!$A$2:$A$23,'Datos puntos'!$B$2:$B$23)),"")</f>
        <v>17</v>
      </c>
      <c r="N10" s="183">
        <f>IF(AND(E10="M",Tabla15[[#This Row],[POS]]&lt;&gt;"AB",Tabla15[[#This Row],[POS]]&lt;&gt;"DSQ"),COUNTIFS($J$6:J10,Tabla15[[#This Row],[Clase]],$E$6:E10,"M"),"")</f>
        <v>1</v>
      </c>
      <c r="O10" s="183">
        <f>IF(E10="M",IF(Tabla15[[#This Row],[Tiempo]]="AB","",LOOKUP(Tabla15[[#This Row],[CLAS CLASE]],'Datos puntos'!$A$25:$A$53,'Datos puntos'!$B$25:$B$53)),"")</f>
        <v>10</v>
      </c>
      <c r="P10" s="183">
        <f>IF(Tabla15[[#This Row],[Puntos scratch]]="","NO PUNTÚA",SUM(Tabla15[[#This Row],[Puntos scratch]],Tabla15[[#This Row],[Puntos clase]])*2)</f>
        <v>54</v>
      </c>
      <c r="Q10" s="183" t="str">
        <f>IF(AND(G10="M",Tabla15[[#This Row],[POS]]&lt;&gt;"AB",Tabla15[[#This Row],[POS]]&lt;&gt;"DSQ"),COUNTIF($G$6:G10,"M"),"")</f>
        <v/>
      </c>
      <c r="R10" s="183" t="str">
        <f>IF(G10="M",IF(Tabla15[[#This Row],[Tiempo]]="AB","",LOOKUP(Tabla15[[#This Row],[CLAS SCRATCH2]],'Datos puntos'!$A$2:$A$23,'Datos puntos'!$B$2:$B$23)),"")</f>
        <v/>
      </c>
      <c r="S10" s="183" t="str">
        <f>IF(AND(G10="M",Tabla15[[#This Row],[POS]]&lt;&gt;"AB",Tabla15[[#This Row],[POS]]&lt;&gt;"DSQ"),COUNTIFS($J$6:J10,Tabla15[[#This Row],[Clase]],$G$6:G10,"M"),"")</f>
        <v/>
      </c>
      <c r="T10" s="183" t="str">
        <f>IF(G10="M",IF(Tabla15[[#This Row],[Tiempo]]="AB","",LOOKUP(Tabla15[[#This Row],[CLAS CLASE2]],'Datos puntos'!$A$25:$A$53,'Datos puntos'!$B$25:$B$53)),"")</f>
        <v/>
      </c>
      <c r="U10" s="183" t="str">
        <f>IF(Tabla15[[#This Row],[Puntos scratch3]]="","NO PUNTÚA",SUM(Tabla15[[#This Row],[Puntos scratch3]],Tabla15[[#This Row],[Puntos clase5]])*2)</f>
        <v>NO PUNTÚA</v>
      </c>
      <c r="W10" s="241">
        <v>12</v>
      </c>
      <c r="X10" s="254" t="s">
        <v>588</v>
      </c>
      <c r="Z10" s="279" t="s">
        <v>171</v>
      </c>
      <c r="AA10" s="172">
        <v>8</v>
      </c>
    </row>
    <row r="11" spans="1:27" x14ac:dyDescent="0.35">
      <c r="A11" s="184">
        <v>6</v>
      </c>
      <c r="B11" s="176">
        <v>1</v>
      </c>
      <c r="C11" s="246" t="s">
        <v>169</v>
      </c>
      <c r="D11" s="179" t="s">
        <v>581</v>
      </c>
      <c r="E11" s="179" t="s">
        <v>582</v>
      </c>
      <c r="F11" s="179" t="s">
        <v>583</v>
      </c>
      <c r="G11" s="179" t="s">
        <v>603</v>
      </c>
      <c r="H11" s="179" t="s">
        <v>584</v>
      </c>
      <c r="I11" s="180" t="s">
        <v>200</v>
      </c>
      <c r="J11" s="180">
        <v>1</v>
      </c>
      <c r="K11" s="181"/>
      <c r="L11" s="183" t="str">
        <f>IF(AND(E11="M",Tabla15[[#This Row],[POS]]&lt;&gt;"AB",Tabla15[[#This Row],[POS]]&lt;&gt;"DSQ"),COUNTIF($E$6:E11,"M"),"")</f>
        <v/>
      </c>
      <c r="M11" s="183" t="str">
        <f>IF(E11="M",IF(Tabla15[[#This Row],[Tiempo]]="AB","",LOOKUP(Tabla15[[#This Row],[CLAS SCRATCH]],'Datos puntos'!$A$2:$A$23,'Datos puntos'!$B$2:$B$23)),"")</f>
        <v/>
      </c>
      <c r="N11" s="183" t="str">
        <f>IF(AND(E11="M",Tabla15[[#This Row],[POS]]&lt;&gt;"AB",Tabla15[[#This Row],[POS]]&lt;&gt;"DSQ"),COUNTIFS($J$6:J11,Tabla15[[#This Row],[Clase]],$E$6:E11,"M"),"")</f>
        <v/>
      </c>
      <c r="O11" s="183" t="str">
        <f>IF(E11="M",IF(Tabla15[[#This Row],[Tiempo]]="AB","",LOOKUP(Tabla15[[#This Row],[CLAS CLASE]],'Datos puntos'!$A$25:$A$53,'Datos puntos'!$B$25:$B$53)),"")</f>
        <v/>
      </c>
      <c r="P11" s="183" t="str">
        <f>IF(Tabla15[[#This Row],[Puntos scratch]]="","NO PUNTÚA",SUM(Tabla15[[#This Row],[Puntos scratch]],Tabla15[[#This Row],[Puntos clase]])*2)</f>
        <v>NO PUNTÚA</v>
      </c>
      <c r="Q11" s="183" t="str">
        <f>IF(AND(G11="M",Tabla15[[#This Row],[POS]]&lt;&gt;"AB",Tabla15[[#This Row],[POS]]&lt;&gt;"DSQ"),COUNTIF($G$6:G11,"M"),"")</f>
        <v/>
      </c>
      <c r="R11" s="183" t="str">
        <f>IF(G11="M",IF(Tabla15[[#This Row],[Tiempo]]="AB","",LOOKUP(Tabla15[[#This Row],[CLAS SCRATCH2]],'Datos puntos'!$A$2:$A$23,'Datos puntos'!$B$2:$B$23)),"")</f>
        <v/>
      </c>
      <c r="S11" s="183" t="str">
        <f>IF(AND(G11="M",Tabla15[[#This Row],[POS]]&lt;&gt;"AB",Tabla15[[#This Row],[POS]]&lt;&gt;"DSQ"),COUNTIFS($J$6:J11,Tabla15[[#This Row],[Clase]],$G$6:G11,"M"),"")</f>
        <v/>
      </c>
      <c r="T11" s="183" t="str">
        <f>IF(G11="M",IF(Tabla15[[#This Row],[Tiempo]]="AB","",LOOKUP(Tabla15[[#This Row],[CLAS CLASE2]],'Datos puntos'!$A$25:$A$53,'Datos puntos'!$B$25:$B$53)),"")</f>
        <v/>
      </c>
      <c r="U11" s="183" t="str">
        <f>IF(Tabla15[[#This Row],[Puntos scratch3]]="","NO PUNTÚA",SUM(Tabla15[[#This Row],[Puntos scratch3]],Tabla15[[#This Row],[Puntos clase5]])*2)</f>
        <v>NO PUNTÚA</v>
      </c>
      <c r="W11" s="241">
        <v>10</v>
      </c>
      <c r="X11" s="252" t="s">
        <v>172</v>
      </c>
      <c r="Z11" s="253" t="s">
        <v>330</v>
      </c>
      <c r="AA11" s="172">
        <v>4</v>
      </c>
    </row>
    <row r="12" spans="1:27" x14ac:dyDescent="0.35">
      <c r="A12" s="176">
        <v>7</v>
      </c>
      <c r="B12" s="176">
        <v>29</v>
      </c>
      <c r="C12" s="179" t="s">
        <v>236</v>
      </c>
      <c r="D12" s="179" t="s">
        <v>585</v>
      </c>
      <c r="E12" s="179" t="s">
        <v>168</v>
      </c>
      <c r="F12" s="179" t="s">
        <v>586</v>
      </c>
      <c r="G12" s="179" t="s">
        <v>587</v>
      </c>
      <c r="H12" s="179" t="s">
        <v>357</v>
      </c>
      <c r="I12" s="180" t="s">
        <v>24</v>
      </c>
      <c r="J12" s="180">
        <v>2</v>
      </c>
      <c r="K12" s="181"/>
      <c r="L12" s="183">
        <f>IF(AND(E12="M",Tabla15[[#This Row],[POS]]&lt;&gt;"AB",Tabla15[[#This Row],[POS]]&lt;&gt;"DSQ"),COUNTIF($E$6:E12,"M"),"")</f>
        <v>4</v>
      </c>
      <c r="M12" s="183">
        <f>IF(E12="M",IF(Tabla15[[#This Row],[Tiempo]]="AB","",LOOKUP(Tabla15[[#This Row],[CLAS SCRATCH]],'Datos puntos'!$A$2:$A$23,'Datos puntos'!$B$2:$B$23)),"")</f>
        <v>15</v>
      </c>
      <c r="N12" s="183">
        <f>IF(AND(E12="M",Tabla15[[#This Row],[POS]]&lt;&gt;"AB",Tabla15[[#This Row],[POS]]&lt;&gt;"DSQ"),COUNTIFS($J$6:J12,Tabla15[[#This Row],[Clase]],$E$6:E12,"M"),"")</f>
        <v>3</v>
      </c>
      <c r="O12" s="183">
        <f>IF(E12="M",IF(Tabla15[[#This Row],[Tiempo]]="AB","",LOOKUP(Tabla15[[#This Row],[CLAS CLASE]],'Datos puntos'!$A$25:$A$53,'Datos puntos'!$B$25:$B$53)),"")</f>
        <v>6</v>
      </c>
      <c r="P12" s="183">
        <f>IF(Tabla15[[#This Row],[Puntos scratch]]="","NO PUNTÚA",SUM(Tabla15[[#This Row],[Puntos scratch]],Tabla15[[#This Row],[Puntos clase]])*2)</f>
        <v>42</v>
      </c>
      <c r="Q12" s="183" t="str">
        <f>IF(AND(G12="M",Tabla15[[#This Row],[POS]]&lt;&gt;"AB",Tabla15[[#This Row],[POS]]&lt;&gt;"DSQ"),COUNTIF($G$6:G12,"M"),"")</f>
        <v/>
      </c>
      <c r="R12" s="183" t="str">
        <f>IF(G12="M",IF(Tabla15[[#This Row],[Tiempo]]="AB","",LOOKUP(Tabla15[[#This Row],[CLAS SCRATCH2]],'Datos puntos'!$A$2:$A$23,'Datos puntos'!$B$2:$B$23)),"")</f>
        <v/>
      </c>
      <c r="S12" s="183" t="str">
        <f>IF(AND(G12="M",Tabla15[[#This Row],[POS]]&lt;&gt;"AB",Tabla15[[#This Row],[POS]]&lt;&gt;"DSQ"),COUNTIFS($J$6:J12,Tabla15[[#This Row],[Clase]],$G$6:G12,"M"),"")</f>
        <v/>
      </c>
      <c r="T12" s="183" t="str">
        <f>IF(G12="M",IF(Tabla15[[#This Row],[Tiempo]]="AB","",LOOKUP(Tabla15[[#This Row],[CLAS CLASE2]],'Datos puntos'!$A$25:$A$53,'Datos puntos'!$B$25:$B$53)),"")</f>
        <v/>
      </c>
      <c r="U12" s="183" t="str">
        <f>IF(Tabla15[[#This Row],[Puntos scratch3]]="","NO PUNTÚA",SUM(Tabla15[[#This Row],[Puntos scratch3]],Tabla15[[#This Row],[Puntos clase5]])*2)</f>
        <v>NO PUNTÚA</v>
      </c>
      <c r="W12" s="241">
        <v>8</v>
      </c>
      <c r="X12" s="279" t="s">
        <v>171</v>
      </c>
      <c r="Z12" s="489" t="s">
        <v>609</v>
      </c>
      <c r="AA12" s="172">
        <v>0</v>
      </c>
    </row>
    <row r="13" spans="1:27" x14ac:dyDescent="0.35">
      <c r="A13" s="176">
        <v>8</v>
      </c>
      <c r="B13" s="176">
        <v>7</v>
      </c>
      <c r="C13" s="248" t="s">
        <v>588</v>
      </c>
      <c r="D13" s="179" t="s">
        <v>174</v>
      </c>
      <c r="E13" s="179" t="s">
        <v>168</v>
      </c>
      <c r="F13" s="179" t="s">
        <v>589</v>
      </c>
      <c r="G13" s="179" t="s">
        <v>168</v>
      </c>
      <c r="H13" s="179" t="s">
        <v>294</v>
      </c>
      <c r="I13" s="180" t="s">
        <v>200</v>
      </c>
      <c r="J13" s="180">
        <v>1</v>
      </c>
      <c r="K13" s="181"/>
      <c r="L13" s="183">
        <f>IF(AND(E13="M",Tabla15[[#This Row],[POS]]&lt;&gt;"AB",Tabla15[[#This Row],[POS]]&lt;&gt;"DSQ"),COUNTIF($E$6:E13,"M"),"")</f>
        <v>5</v>
      </c>
      <c r="M13" s="183">
        <f>IF(E13="M",IF(Tabla15[[#This Row],[Tiempo]]="AB","",LOOKUP(Tabla15[[#This Row],[CLAS SCRATCH]],'Datos puntos'!$A$2:$A$23,'Datos puntos'!$B$2:$B$23)),"")</f>
        <v>12</v>
      </c>
      <c r="N13" s="183">
        <f>IF(AND(E13="M",Tabla15[[#This Row],[POS]]&lt;&gt;"AB",Tabla15[[#This Row],[POS]]&lt;&gt;"DSQ"),COUNTIFS($J$6:J13,Tabla15[[#This Row],[Clase]],$E$6:E13,"M"),"")</f>
        <v>2</v>
      </c>
      <c r="O13" s="183">
        <f>IF(E13="M",IF(Tabla15[[#This Row],[Tiempo]]="AB","",LOOKUP(Tabla15[[#This Row],[CLAS CLASE]],'Datos puntos'!$A$25:$A$53,'Datos puntos'!$B$25:$B$53)),"")</f>
        <v>8</v>
      </c>
      <c r="P13" s="183">
        <f>IF(Tabla15[[#This Row],[Puntos scratch]]="","NO PUNTÚA",SUM(Tabla15[[#This Row],[Puntos scratch]],Tabla15[[#This Row],[Puntos clase]])*2)</f>
        <v>40</v>
      </c>
      <c r="Q13" s="183">
        <f>IF(AND(G13="M",Tabla15[[#This Row],[POS]]&lt;&gt;"AB",Tabla15[[#This Row],[POS]]&lt;&gt;"DSQ"),COUNTIF($G$6:G13,"M"),"")</f>
        <v>3</v>
      </c>
      <c r="R13" s="183">
        <f>IF(G13="M",IF(Tabla15[[#This Row],[Tiempo]]="AB","",LOOKUP(Tabla15[[#This Row],[CLAS SCRATCH2]],'Datos puntos'!$A$2:$A$23,'Datos puntos'!$B$2:$B$23)),"")</f>
        <v>17</v>
      </c>
      <c r="S13" s="183">
        <f>IF(AND(G13="M",Tabla15[[#This Row],[POS]]&lt;&gt;"AB",Tabla15[[#This Row],[POS]]&lt;&gt;"DSQ"),COUNTIFS($J$6:J13,Tabla15[[#This Row],[Clase]],$G$6:G13,"M"),"")</f>
        <v>1</v>
      </c>
      <c r="T13" s="183">
        <f>IF(G13="M",IF(Tabla15[[#This Row],[Tiempo]]="AB","",LOOKUP(Tabla15[[#This Row],[CLAS CLASE2]],'Datos puntos'!$A$25:$A$53,'Datos puntos'!$B$25:$B$53)),"")</f>
        <v>10</v>
      </c>
      <c r="U13" s="183">
        <f>IF(Tabla15[[#This Row],[Puntos scratch3]]="","NO PUNTÚA",SUM(Tabla15[[#This Row],[Puntos scratch3]],Tabla15[[#This Row],[Puntos clase5]])*2)</f>
        <v>54</v>
      </c>
      <c r="W13" s="241">
        <v>6</v>
      </c>
      <c r="X13" s="252" t="s">
        <v>172</v>
      </c>
      <c r="Z13" s="172" t="s">
        <v>634</v>
      </c>
      <c r="AA13" s="172">
        <v>0</v>
      </c>
    </row>
    <row r="14" spans="1:27" x14ac:dyDescent="0.35">
      <c r="A14" s="176">
        <v>9</v>
      </c>
      <c r="B14" s="176">
        <v>12</v>
      </c>
      <c r="C14" s="245" t="s">
        <v>172</v>
      </c>
      <c r="D14" s="179" t="s">
        <v>368</v>
      </c>
      <c r="E14" s="179" t="s">
        <v>168</v>
      </c>
      <c r="F14" s="179" t="s">
        <v>590</v>
      </c>
      <c r="G14" s="179" t="s">
        <v>168</v>
      </c>
      <c r="H14" s="179" t="s">
        <v>201</v>
      </c>
      <c r="I14" s="180" t="s">
        <v>24</v>
      </c>
      <c r="J14" s="180">
        <v>3</v>
      </c>
      <c r="K14" s="181"/>
      <c r="L14" s="183">
        <f>IF(AND(E14="M",Tabla15[[#This Row],[POS]]&lt;&gt;"AB",Tabla15[[#This Row],[POS]]&lt;&gt;"DSQ"),COUNTIF($E$6:E14,"M"),"")</f>
        <v>6</v>
      </c>
      <c r="M14" s="183">
        <f>IF(E14="M",IF(Tabla15[[#This Row],[Tiempo]]="AB","",LOOKUP(Tabla15[[#This Row],[CLAS SCRATCH]],'Datos puntos'!$A$2:$A$23,'Datos puntos'!$B$2:$B$23)),"")</f>
        <v>10</v>
      </c>
      <c r="N14" s="183">
        <f>IF(AND(E14="M",Tabla15[[#This Row],[POS]]&lt;&gt;"AB",Tabla15[[#This Row],[POS]]&lt;&gt;"DSQ"),COUNTIFS($J$6:J14,Tabla15[[#This Row],[Clase]],$E$6:E14,"M"),"")</f>
        <v>1</v>
      </c>
      <c r="O14" s="183">
        <f>IF(E14="M",IF(Tabla15[[#This Row],[Tiempo]]="AB","",LOOKUP(Tabla15[[#This Row],[CLAS CLASE]],'Datos puntos'!$A$25:$A$53,'Datos puntos'!$B$25:$B$53)),"")</f>
        <v>10</v>
      </c>
      <c r="P14" s="183">
        <f>IF(Tabla15[[#This Row],[Puntos scratch]]="","NO PUNTÚA",SUM(Tabla15[[#This Row],[Puntos scratch]],Tabla15[[#This Row],[Puntos clase]])*2)</f>
        <v>40</v>
      </c>
      <c r="Q14" s="183">
        <f>IF(AND(G14="M",Tabla15[[#This Row],[POS]]&lt;&gt;"AB",Tabla15[[#This Row],[POS]]&lt;&gt;"DSQ"),COUNTIF($G$6:G14,"M"),"")</f>
        <v>4</v>
      </c>
      <c r="R14" s="183">
        <f>IF(G14="M",IF(Tabla15[[#This Row],[Tiempo]]="AB","",LOOKUP(Tabla15[[#This Row],[CLAS SCRATCH2]],'Datos puntos'!$A$2:$A$23,'Datos puntos'!$B$2:$B$23)),"")</f>
        <v>15</v>
      </c>
      <c r="S14" s="183">
        <f>IF(AND(G14="M",Tabla15[[#This Row],[POS]]&lt;&gt;"AB",Tabla15[[#This Row],[POS]]&lt;&gt;"DSQ"),COUNTIFS($J$6:J14,Tabla15[[#This Row],[Clase]],$G$6:G14,"M"),"")</f>
        <v>1</v>
      </c>
      <c r="T14" s="183">
        <f>IF(G14="M",IF(Tabla15[[#This Row],[Tiempo]]="AB","",LOOKUP(Tabla15[[#This Row],[CLAS CLASE2]],'Datos puntos'!$A$25:$A$53,'Datos puntos'!$B$25:$B$53)),"")</f>
        <v>10</v>
      </c>
      <c r="U14" s="183">
        <f>IF(Tabla15[[#This Row],[Puntos scratch3]]="","NO PUNTÚA",SUM(Tabla15[[#This Row],[Puntos scratch3]],Tabla15[[#This Row],[Puntos clase5]])*2)</f>
        <v>50</v>
      </c>
      <c r="W14" s="241">
        <v>5</v>
      </c>
      <c r="X14" s="251" t="s">
        <v>169</v>
      </c>
      <c r="Z14" s="172" t="s">
        <v>444</v>
      </c>
      <c r="AA14" s="172">
        <v>0</v>
      </c>
    </row>
    <row r="15" spans="1:27" x14ac:dyDescent="0.35">
      <c r="A15" s="184">
        <v>10</v>
      </c>
      <c r="B15" s="176">
        <v>14</v>
      </c>
      <c r="C15" s="179" t="s">
        <v>591</v>
      </c>
      <c r="D15" s="179" t="s">
        <v>592</v>
      </c>
      <c r="E15" s="179" t="s">
        <v>168</v>
      </c>
      <c r="F15" s="179" t="s">
        <v>457</v>
      </c>
      <c r="G15" s="179" t="s">
        <v>168</v>
      </c>
      <c r="H15" s="179" t="s">
        <v>379</v>
      </c>
      <c r="I15" s="180" t="s">
        <v>24</v>
      </c>
      <c r="J15" s="180">
        <v>3</v>
      </c>
      <c r="K15" s="181"/>
      <c r="L15" s="183">
        <f>IF(AND(E15="M",Tabla15[[#This Row],[POS]]&lt;&gt;"AB",Tabla15[[#This Row],[POS]]&lt;&gt;"DSQ"),COUNTIF($E$6:E15,"M"),"")</f>
        <v>7</v>
      </c>
      <c r="M15" s="183">
        <f>IF(E15="M",IF(Tabla15[[#This Row],[Tiempo]]="AB","",LOOKUP(Tabla15[[#This Row],[CLAS SCRATCH]],'Datos puntos'!$A$2:$A$23,'Datos puntos'!$B$2:$B$23)),"")</f>
        <v>8</v>
      </c>
      <c r="N15" s="183">
        <f>IF(AND(E15="M",Tabla15[[#This Row],[POS]]&lt;&gt;"AB",Tabla15[[#This Row],[POS]]&lt;&gt;"DSQ"),COUNTIFS($J$6:J15,Tabla15[[#This Row],[Clase]],$E$6:E15,"M"),"")</f>
        <v>2</v>
      </c>
      <c r="O15" s="183">
        <f>IF(E15="M",IF(Tabla15[[#This Row],[Tiempo]]="AB","",LOOKUP(Tabla15[[#This Row],[CLAS CLASE]],'Datos puntos'!$A$25:$A$53,'Datos puntos'!$B$25:$B$53)),"")</f>
        <v>8</v>
      </c>
      <c r="P15" s="183">
        <f>IF(Tabla15[[#This Row],[Puntos scratch]]="","NO PUNTÚA",SUM(Tabla15[[#This Row],[Puntos scratch]],Tabla15[[#This Row],[Puntos clase]])*2)</f>
        <v>32</v>
      </c>
      <c r="Q15" s="183">
        <f>IF(AND(G15="M",Tabla15[[#This Row],[POS]]&lt;&gt;"AB",Tabla15[[#This Row],[POS]]&lt;&gt;"DSQ"),COUNTIF($G$6:G15,"M"),"")</f>
        <v>5</v>
      </c>
      <c r="R15" s="183">
        <f>IF(G15="M",IF(Tabla15[[#This Row],[Tiempo]]="AB","",LOOKUP(Tabla15[[#This Row],[CLAS SCRATCH2]],'Datos puntos'!$A$2:$A$23,'Datos puntos'!$B$2:$B$23)),"")</f>
        <v>12</v>
      </c>
      <c r="S15" s="183">
        <f>IF(AND(G15="M",Tabla15[[#This Row],[POS]]&lt;&gt;"AB",Tabla15[[#This Row],[POS]]&lt;&gt;"DSQ"),COUNTIFS($J$6:J15,Tabla15[[#This Row],[Clase]],$G$6:G15,"M"),"")</f>
        <v>2</v>
      </c>
      <c r="T15" s="183">
        <f>IF(G15="M",IF(Tabla15[[#This Row],[Tiempo]]="AB","",LOOKUP(Tabla15[[#This Row],[CLAS CLASE2]],'Datos puntos'!$A$25:$A$53,'Datos puntos'!$B$25:$B$53)),"")</f>
        <v>8</v>
      </c>
      <c r="U15" s="183">
        <f>IF(Tabla15[[#This Row],[Puntos scratch3]]="","NO PUNTÚA",SUM(Tabla15[[#This Row],[Puntos scratch3]],Tabla15[[#This Row],[Puntos clase5]])*2)</f>
        <v>40</v>
      </c>
      <c r="W15" s="241">
        <v>4</v>
      </c>
      <c r="X15" s="253" t="s">
        <v>330</v>
      </c>
    </row>
    <row r="16" spans="1:27" x14ac:dyDescent="0.35">
      <c r="A16" s="176">
        <v>11</v>
      </c>
      <c r="B16" s="176">
        <v>19</v>
      </c>
      <c r="C16" s="463" t="s">
        <v>171</v>
      </c>
      <c r="D16" s="179" t="s">
        <v>593</v>
      </c>
      <c r="E16" s="179" t="s">
        <v>168</v>
      </c>
      <c r="F16" s="179" t="s">
        <v>594</v>
      </c>
      <c r="G16" s="179" t="s">
        <v>168</v>
      </c>
      <c r="H16" s="179" t="s">
        <v>279</v>
      </c>
      <c r="I16" s="180" t="s">
        <v>24</v>
      </c>
      <c r="J16" s="180">
        <v>3</v>
      </c>
      <c r="K16" s="181"/>
      <c r="L16" s="183">
        <f>IF(AND(E16="M",Tabla15[[#This Row],[POS]]&lt;&gt;"AB",Tabla15[[#This Row],[POS]]&lt;&gt;"DSQ"),COUNTIF($E$6:E16,"M"),"")</f>
        <v>8</v>
      </c>
      <c r="M16" s="183">
        <f>IF(E16="M",IF(Tabla15[[#This Row],[Tiempo]]="AB","",LOOKUP(Tabla15[[#This Row],[CLAS SCRATCH]],'Datos puntos'!$A$2:$A$23,'Datos puntos'!$B$2:$B$23)),"")</f>
        <v>6</v>
      </c>
      <c r="N16" s="183">
        <f>IF(AND(E16="M",Tabla15[[#This Row],[POS]]&lt;&gt;"AB",Tabla15[[#This Row],[POS]]&lt;&gt;"DSQ"),COUNTIFS($J$6:J16,Tabla15[[#This Row],[Clase]],$E$6:E16,"M"),"")</f>
        <v>3</v>
      </c>
      <c r="O16" s="183">
        <f>IF(E16="M",IF(Tabla15[[#This Row],[Tiempo]]="AB","",LOOKUP(Tabla15[[#This Row],[CLAS CLASE]],'Datos puntos'!$A$25:$A$53,'Datos puntos'!$B$25:$B$53)),"")</f>
        <v>6</v>
      </c>
      <c r="P16" s="183">
        <f>IF(Tabla15[[#This Row],[Puntos scratch]]="","NO PUNTÚA",SUM(Tabla15[[#This Row],[Puntos scratch]],Tabla15[[#This Row],[Puntos clase]])*2)</f>
        <v>24</v>
      </c>
      <c r="Q16" s="183">
        <f>IF(AND(G16="M",Tabla15[[#This Row],[POS]]&lt;&gt;"AB",Tabla15[[#This Row],[POS]]&lt;&gt;"DSQ"),COUNTIF($G$6:G16,"M"),"")</f>
        <v>6</v>
      </c>
      <c r="R16" s="183">
        <f>IF(G16="M",IF(Tabla15[[#This Row],[Tiempo]]="AB","",LOOKUP(Tabla15[[#This Row],[CLAS SCRATCH2]],'Datos puntos'!$A$2:$A$23,'Datos puntos'!$B$2:$B$23)),"")</f>
        <v>10</v>
      </c>
      <c r="S16" s="183">
        <f>IF(AND(G16="M",Tabla15[[#This Row],[POS]]&lt;&gt;"AB",Tabla15[[#This Row],[POS]]&lt;&gt;"DSQ"),COUNTIFS($J$6:J16,Tabla15[[#This Row],[Clase]],$G$6:G16,"M"),"")</f>
        <v>3</v>
      </c>
      <c r="T16" s="183">
        <f>IF(G16="M",IF(Tabla15[[#This Row],[Tiempo]]="AB","",LOOKUP(Tabla15[[#This Row],[CLAS CLASE2]],'Datos puntos'!$A$25:$A$53,'Datos puntos'!$B$25:$B$53)),"")</f>
        <v>6</v>
      </c>
      <c r="U16" s="183">
        <f>IF(Tabla15[[#This Row],[Puntos scratch3]]="","NO PUNTÚA",SUM(Tabla15[[#This Row],[Puntos scratch3]],Tabla15[[#This Row],[Puntos clase5]])*2)</f>
        <v>32</v>
      </c>
      <c r="W16" s="241">
        <v>3</v>
      </c>
      <c r="X16" s="251" t="s">
        <v>169</v>
      </c>
    </row>
    <row r="17" spans="1:24" x14ac:dyDescent="0.35">
      <c r="A17" s="176">
        <v>12</v>
      </c>
      <c r="B17" s="176">
        <v>23</v>
      </c>
      <c r="C17" s="245" t="s">
        <v>172</v>
      </c>
      <c r="D17" s="179" t="s">
        <v>595</v>
      </c>
      <c r="E17" s="179" t="s">
        <v>168</v>
      </c>
      <c r="F17" s="179" t="s">
        <v>596</v>
      </c>
      <c r="G17" s="179" t="s">
        <v>168</v>
      </c>
      <c r="H17" s="179" t="s">
        <v>314</v>
      </c>
      <c r="I17" s="180" t="s">
        <v>24</v>
      </c>
      <c r="J17" s="180">
        <v>3</v>
      </c>
      <c r="K17" s="181"/>
      <c r="L17" s="183">
        <f>IF(AND(E17="M",Tabla15[[#This Row],[POS]]&lt;&gt;"AB",Tabla15[[#This Row],[POS]]&lt;&gt;"DSQ"),COUNTIF($E$6:E17,"M"),"")</f>
        <v>9</v>
      </c>
      <c r="M17" s="183">
        <f>IF(E17="M",IF(Tabla15[[#This Row],[Tiempo]]="AB","",LOOKUP(Tabla15[[#This Row],[CLAS SCRATCH]],'Datos puntos'!$A$2:$A$23,'Datos puntos'!$B$2:$B$23)),"")</f>
        <v>5</v>
      </c>
      <c r="N17" s="183">
        <f>IF(AND(E17="M",Tabla15[[#This Row],[POS]]&lt;&gt;"AB",Tabla15[[#This Row],[POS]]&lt;&gt;"DSQ"),COUNTIFS($J$6:J17,Tabla15[[#This Row],[Clase]],$E$6:E17,"M"),"")</f>
        <v>4</v>
      </c>
      <c r="O17" s="183">
        <f>IF(E17="M",IF(Tabla15[[#This Row],[Tiempo]]="AB","",LOOKUP(Tabla15[[#This Row],[CLAS CLASE]],'Datos puntos'!$A$25:$A$53,'Datos puntos'!$B$25:$B$53)),"")</f>
        <v>5</v>
      </c>
      <c r="P17" s="183">
        <f>IF(Tabla15[[#This Row],[Puntos scratch]]="","NO PUNTÚA",SUM(Tabla15[[#This Row],[Puntos scratch]],Tabla15[[#This Row],[Puntos clase]])*2)</f>
        <v>20</v>
      </c>
      <c r="Q17" s="183">
        <f>IF(AND(G17="M",Tabla15[[#This Row],[POS]]&lt;&gt;"AB",Tabla15[[#This Row],[POS]]&lt;&gt;"DSQ"),COUNTIF($G$6:G17,"M"),"")</f>
        <v>7</v>
      </c>
      <c r="R17" s="183">
        <f>IF(G17="M",IF(Tabla15[[#This Row],[Tiempo]]="AB","",LOOKUP(Tabla15[[#This Row],[CLAS SCRATCH2]],'Datos puntos'!$A$2:$A$23,'Datos puntos'!$B$2:$B$23)),"")</f>
        <v>8</v>
      </c>
      <c r="S17" s="183">
        <f>IF(AND(G17="M",Tabla15[[#This Row],[POS]]&lt;&gt;"AB",Tabla15[[#This Row],[POS]]&lt;&gt;"DSQ"),COUNTIFS($J$6:J17,Tabla15[[#This Row],[Clase]],$G$6:G17,"M"),"")</f>
        <v>4</v>
      </c>
      <c r="T17" s="183">
        <f>IF(G17="M",IF(Tabla15[[#This Row],[Tiempo]]="AB","",LOOKUP(Tabla15[[#This Row],[CLAS CLASE2]],'Datos puntos'!$A$25:$A$53,'Datos puntos'!$B$25:$B$53)),"")</f>
        <v>5</v>
      </c>
      <c r="U17" s="183">
        <f>IF(Tabla15[[#This Row],[Puntos scratch3]]="","NO PUNTÚA",SUM(Tabla15[[#This Row],[Puntos scratch3]],Tabla15[[#This Row],[Puntos clase5]])*2)</f>
        <v>26</v>
      </c>
      <c r="W17" s="241">
        <v>2</v>
      </c>
      <c r="X17" s="250" t="s">
        <v>567</v>
      </c>
    </row>
    <row r="18" spans="1:24" x14ac:dyDescent="0.35">
      <c r="A18" s="176">
        <v>13</v>
      </c>
      <c r="B18" s="176">
        <v>11</v>
      </c>
      <c r="C18" s="179" t="s">
        <v>236</v>
      </c>
      <c r="D18" s="179" t="s">
        <v>597</v>
      </c>
      <c r="E18" s="179" t="s">
        <v>168</v>
      </c>
      <c r="F18" s="179" t="s">
        <v>598</v>
      </c>
      <c r="G18" s="179" t="s">
        <v>168</v>
      </c>
      <c r="H18" s="179" t="s">
        <v>357</v>
      </c>
      <c r="I18" s="180" t="s">
        <v>24</v>
      </c>
      <c r="J18" s="180">
        <v>5</v>
      </c>
      <c r="K18" s="181"/>
      <c r="L18" s="183">
        <f>IF(AND(E18="M",Tabla15[[#This Row],[POS]]&lt;&gt;"AB",Tabla15[[#This Row],[POS]]&lt;&gt;"DSQ"),COUNTIF($E$6:E18,"M"),"")</f>
        <v>10</v>
      </c>
      <c r="M18" s="183">
        <f>IF(E18="M",IF(Tabla15[[#This Row],[Tiempo]]="AB","",LOOKUP(Tabla15[[#This Row],[CLAS SCRATCH]],'Datos puntos'!$A$2:$A$23,'Datos puntos'!$B$2:$B$23)),"")</f>
        <v>4</v>
      </c>
      <c r="N18" s="183">
        <f>IF(AND(E18="M",Tabla15[[#This Row],[POS]]&lt;&gt;"AB",Tabla15[[#This Row],[POS]]&lt;&gt;"DSQ"),COUNTIFS($J$6:J18,Tabla15[[#This Row],[Clase]],$E$6:E18,"M"),"")</f>
        <v>1</v>
      </c>
      <c r="O18" s="183">
        <f>IF(E18="M",IF(Tabla15[[#This Row],[Tiempo]]="AB","",LOOKUP(Tabla15[[#This Row],[CLAS CLASE]],'Datos puntos'!$A$25:$A$53,'Datos puntos'!$B$25:$B$53)),"")</f>
        <v>10</v>
      </c>
      <c r="P18" s="183">
        <f>IF(Tabla15[[#This Row],[Puntos scratch]]="","NO PUNTÚA",SUM(Tabla15[[#This Row],[Puntos scratch]],Tabla15[[#This Row],[Puntos clase]])*2)</f>
        <v>28</v>
      </c>
      <c r="Q18" s="183">
        <f>IF(AND(G18="M",Tabla15[[#This Row],[POS]]&lt;&gt;"AB",Tabla15[[#This Row],[POS]]&lt;&gt;"DSQ"),COUNTIF($G$6:G18,"M"),"")</f>
        <v>8</v>
      </c>
      <c r="R18" s="183">
        <f>IF(G18="M",IF(Tabla15[[#This Row],[Tiempo]]="AB","",LOOKUP(Tabla15[[#This Row],[CLAS SCRATCH2]],'Datos puntos'!$A$2:$A$23,'Datos puntos'!$B$2:$B$23)),"")</f>
        <v>6</v>
      </c>
      <c r="S18" s="183">
        <f>IF(AND(G18="M",Tabla15[[#This Row],[POS]]&lt;&gt;"AB",Tabla15[[#This Row],[POS]]&lt;&gt;"DSQ"),COUNTIFS($J$6:J18,Tabla15[[#This Row],[Clase]],$G$6:G18,"M"),"")</f>
        <v>1</v>
      </c>
      <c r="T18" s="183">
        <f>IF(G18="M",IF(Tabla15[[#This Row],[Tiempo]]="AB","",LOOKUP(Tabla15[[#This Row],[CLAS CLASE2]],'Datos puntos'!$A$25:$A$53,'Datos puntos'!$B$25:$B$53)),"")</f>
        <v>10</v>
      </c>
      <c r="U18" s="183">
        <f>IF(Tabla15[[#This Row],[Puntos scratch3]]="","NO PUNTÚA",SUM(Tabla15[[#This Row],[Puntos scratch3]],Tabla15[[#This Row],[Puntos clase5]])*2)</f>
        <v>32</v>
      </c>
      <c r="W18" s="241">
        <v>1</v>
      </c>
      <c r="X18" s="254" t="s">
        <v>588</v>
      </c>
    </row>
    <row r="19" spans="1:24" x14ac:dyDescent="0.35">
      <c r="A19" s="186">
        <v>14</v>
      </c>
      <c r="B19" s="176">
        <v>31</v>
      </c>
      <c r="C19" s="246" t="s">
        <v>169</v>
      </c>
      <c r="D19" s="179" t="s">
        <v>283</v>
      </c>
      <c r="E19" s="179" t="s">
        <v>168</v>
      </c>
      <c r="F19" s="179" t="s">
        <v>599</v>
      </c>
      <c r="G19" s="179" t="s">
        <v>582</v>
      </c>
      <c r="H19" s="179" t="s">
        <v>176</v>
      </c>
      <c r="I19" s="180" t="s">
        <v>24</v>
      </c>
      <c r="J19" s="180">
        <v>4</v>
      </c>
      <c r="K19" s="181"/>
      <c r="L19" s="183">
        <f>IF(AND(E19="M",Tabla15[[#This Row],[POS]]&lt;&gt;"AB",Tabla15[[#This Row],[POS]]&lt;&gt;"DSQ"),COUNTIF($E$6:E19,"M"),"")</f>
        <v>11</v>
      </c>
      <c r="M19" s="183">
        <f>IF(E19="M",IF(Tabla15[[#This Row],[Tiempo]]="AB","",LOOKUP(Tabla15[[#This Row],[CLAS SCRATCH]],'Datos puntos'!$A$2:$A$23,'Datos puntos'!$B$2:$B$23)),"")</f>
        <v>3</v>
      </c>
      <c r="N19" s="183">
        <f>IF(AND(E19="M",Tabla15[[#This Row],[POS]]&lt;&gt;"AB",Tabla15[[#This Row],[POS]]&lt;&gt;"DSQ"),COUNTIFS($J$6:J19,Tabla15[[#This Row],[Clase]],$E$6:E19,"M"),"")</f>
        <v>1</v>
      </c>
      <c r="O19" s="183">
        <f>IF(E19="M",IF(Tabla15[[#This Row],[Tiempo]]="AB","",LOOKUP(Tabla15[[#This Row],[CLAS CLASE]],'Datos puntos'!$A$25:$A$53,'Datos puntos'!$B$25:$B$53)),"")</f>
        <v>10</v>
      </c>
      <c r="P19" s="183">
        <f>IF(Tabla15[[#This Row],[Puntos scratch]]="","NO PUNTÚA",SUM(Tabla15[[#This Row],[Puntos scratch]],Tabla15[[#This Row],[Puntos clase]])*2)</f>
        <v>26</v>
      </c>
      <c r="Q19" s="183" t="str">
        <f>IF(AND(G19="M",Tabla15[[#This Row],[POS]]&lt;&gt;"AB",Tabla15[[#This Row],[POS]]&lt;&gt;"DSQ"),COUNTIF($G$6:G19,"M"),"")</f>
        <v/>
      </c>
      <c r="R19" s="183" t="str">
        <f>IF(G19="M",IF(Tabla15[[#This Row],[Tiempo]]="AB","",LOOKUP(Tabla15[[#This Row],[CLAS SCRATCH2]],'Datos puntos'!$A$2:$A$23,'Datos puntos'!$B$2:$B$23)),"")</f>
        <v/>
      </c>
      <c r="S19" s="183" t="str">
        <f>IF(AND(G19="M",Tabla15[[#This Row],[POS]]&lt;&gt;"AB",Tabla15[[#This Row],[POS]]&lt;&gt;"DSQ"),COUNTIFS($J$6:J19,Tabla15[[#This Row],[Clase]],$G$6:G19,"M"),"")</f>
        <v/>
      </c>
      <c r="T19" s="183" t="str">
        <f>IF(G19="M",IF(Tabla15[[#This Row],[Tiempo]]="AB","",LOOKUP(Tabla15[[#This Row],[CLAS CLASE2]],'Datos puntos'!$A$25:$A$53,'Datos puntos'!$B$25:$B$53)),"")</f>
        <v/>
      </c>
      <c r="U19" s="183" t="str">
        <f>IF(Tabla15[[#This Row],[Puntos scratch3]]="","NO PUNTÚA",SUM(Tabla15[[#This Row],[Puntos scratch3]],Tabla15[[#This Row],[Puntos clase5]])*2)</f>
        <v>NO PUNTÚA</v>
      </c>
      <c r="X19" s="489" t="s">
        <v>609</v>
      </c>
    </row>
    <row r="20" spans="1:24" x14ac:dyDescent="0.35">
      <c r="A20" s="176">
        <v>15</v>
      </c>
      <c r="B20" s="176">
        <v>32</v>
      </c>
      <c r="C20" s="247" t="s">
        <v>330</v>
      </c>
      <c r="D20" s="179" t="s">
        <v>332</v>
      </c>
      <c r="E20" s="179" t="s">
        <v>168</v>
      </c>
      <c r="F20" s="179" t="s">
        <v>456</v>
      </c>
      <c r="G20" s="179" t="s">
        <v>600</v>
      </c>
      <c r="H20" s="179" t="s">
        <v>176</v>
      </c>
      <c r="I20" s="180" t="s">
        <v>24</v>
      </c>
      <c r="J20" s="180">
        <v>4</v>
      </c>
      <c r="K20" s="181"/>
      <c r="L20" s="183">
        <f>IF(AND(E20="M",Tabla15[[#This Row],[POS]]&lt;&gt;"AB",Tabla15[[#This Row],[POS]]&lt;&gt;"DSQ"),COUNTIF($E$6:E20,"M"),"")</f>
        <v>12</v>
      </c>
      <c r="M20" s="183">
        <f>IF(E20="M",IF(Tabla15[[#This Row],[Tiempo]]="AB","",LOOKUP(Tabla15[[#This Row],[CLAS SCRATCH]],'Datos puntos'!$A$2:$A$23,'Datos puntos'!$B$2:$B$23)),"")</f>
        <v>2</v>
      </c>
      <c r="N20" s="183">
        <f>IF(AND(E20="M",Tabla15[[#This Row],[POS]]&lt;&gt;"AB",Tabla15[[#This Row],[POS]]&lt;&gt;"DSQ"),COUNTIFS($J$6:J20,Tabla15[[#This Row],[Clase]],$E$6:E20,"M"),"")</f>
        <v>2</v>
      </c>
      <c r="O20" s="183">
        <f>IF(E20="M",IF(Tabla15[[#This Row],[Tiempo]]="AB","",LOOKUP(Tabla15[[#This Row],[CLAS CLASE]],'Datos puntos'!$A$25:$A$53,'Datos puntos'!$B$25:$B$53)),"")</f>
        <v>8</v>
      </c>
      <c r="P20" s="183">
        <f>IF(Tabla15[[#This Row],[Puntos scratch]]="","NO PUNTÚA",SUM(Tabla15[[#This Row],[Puntos scratch]],Tabla15[[#This Row],[Puntos clase]])*2)</f>
        <v>20</v>
      </c>
      <c r="Q20" s="183" t="str">
        <f>IF(AND(G20="M",Tabla15[[#This Row],[POS]]&lt;&gt;"AB",Tabla15[[#This Row],[POS]]&lt;&gt;"DSQ"),COUNTIF($G$6:G20,"M"),"")</f>
        <v/>
      </c>
      <c r="R20" s="183" t="str">
        <f>IF(G20="M",IF(Tabla15[[#This Row],[Tiempo]]="AB","",LOOKUP(Tabla15[[#This Row],[CLAS SCRATCH2]],'Datos puntos'!$A$2:$A$23,'Datos puntos'!$B$2:$B$23)),"")</f>
        <v/>
      </c>
      <c r="S20" s="183" t="str">
        <f>IF(AND(G20="M",Tabla15[[#This Row],[POS]]&lt;&gt;"AB",Tabla15[[#This Row],[POS]]&lt;&gt;"DSQ"),COUNTIFS($J$6:J20,Tabla15[[#This Row],[Clase]],$G$6:G20,"M"),"")</f>
        <v/>
      </c>
      <c r="T20" s="183" t="str">
        <f>IF(G20="M",IF(Tabla15[[#This Row],[Tiempo]]="AB","",LOOKUP(Tabla15[[#This Row],[CLAS CLASE2]],'Datos puntos'!$A$25:$A$53,'Datos puntos'!$B$25:$B$53)),"")</f>
        <v/>
      </c>
      <c r="U20" s="183" t="str">
        <f>IF(Tabla15[[#This Row],[Puntos scratch3]]="","NO PUNTÚA",SUM(Tabla15[[#This Row],[Puntos scratch3]],Tabla15[[#This Row],[Puntos clase5]])*2)</f>
        <v>NO PUNTÚA</v>
      </c>
      <c r="X20" s="254" t="s">
        <v>588</v>
      </c>
    </row>
    <row r="21" spans="1:24" x14ac:dyDescent="0.35">
      <c r="A21" s="176">
        <v>16</v>
      </c>
      <c r="B21" s="176">
        <v>27</v>
      </c>
      <c r="C21" s="246" t="s">
        <v>169</v>
      </c>
      <c r="D21" s="179" t="s">
        <v>601</v>
      </c>
      <c r="E21" s="179" t="s">
        <v>168</v>
      </c>
      <c r="F21" s="179" t="s">
        <v>602</v>
      </c>
      <c r="G21" s="179" t="s">
        <v>603</v>
      </c>
      <c r="H21" s="179" t="s">
        <v>381</v>
      </c>
      <c r="I21" s="180" t="s">
        <v>24</v>
      </c>
      <c r="J21" s="180">
        <v>3</v>
      </c>
      <c r="K21" s="181"/>
      <c r="L21" s="183">
        <f>IF(AND(E21="M",Tabla15[[#This Row],[POS]]&lt;&gt;"AB",Tabla15[[#This Row],[POS]]&lt;&gt;"DSQ"),COUNTIF($E$6:E21,"M"),"")</f>
        <v>13</v>
      </c>
      <c r="M21" s="183">
        <f>IF(E21="M",IF(Tabla15[[#This Row],[Tiempo]]="AB","",LOOKUP(Tabla15[[#This Row],[CLAS SCRATCH]],'Datos puntos'!$A$2:$A$23,'Datos puntos'!$B$2:$B$23)),"")</f>
        <v>1</v>
      </c>
      <c r="N21" s="183">
        <f>IF(AND(E21="M",Tabla15[[#This Row],[POS]]&lt;&gt;"AB",Tabla15[[#This Row],[POS]]&lt;&gt;"DSQ"),COUNTIFS($J$6:J21,Tabla15[[#This Row],[Clase]],$E$6:E21,"M"),"")</f>
        <v>5</v>
      </c>
      <c r="O21" s="183">
        <f>IF(E21="M",IF(Tabla15[[#This Row],[Tiempo]]="AB","",LOOKUP(Tabla15[[#This Row],[CLAS CLASE]],'Datos puntos'!$A$25:$A$53,'Datos puntos'!$B$25:$B$53)),"")</f>
        <v>3</v>
      </c>
      <c r="P21" s="183">
        <f>IF(Tabla15[[#This Row],[Puntos scratch]]="","NO PUNTÚA",SUM(Tabla15[[#This Row],[Puntos scratch]],Tabla15[[#This Row],[Puntos clase]])*2)</f>
        <v>8</v>
      </c>
      <c r="Q21" s="183" t="str">
        <f>IF(AND(G21="M",Tabla15[[#This Row],[POS]]&lt;&gt;"AB",Tabla15[[#This Row],[POS]]&lt;&gt;"DSQ"),COUNTIF($G$6:G21,"M"),"")</f>
        <v/>
      </c>
      <c r="R21" s="183" t="str">
        <f>IF(G21="M",IF(Tabla15[[#This Row],[Tiempo]]="AB","",LOOKUP(Tabla15[[#This Row],[CLAS SCRATCH2]],'Datos puntos'!$A$2:$A$23,'Datos puntos'!$B$2:$B$23)),"")</f>
        <v/>
      </c>
      <c r="S21" s="183" t="str">
        <f>IF(AND(G21="M",Tabla15[[#This Row],[POS]]&lt;&gt;"AB",Tabla15[[#This Row],[POS]]&lt;&gt;"DSQ"),COUNTIFS($J$6:J21,Tabla15[[#This Row],[Clase]],$G$6:G21,"M"),"")</f>
        <v/>
      </c>
      <c r="T21" s="183" t="str">
        <f>IF(G21="M",IF(Tabla15[[#This Row],[Tiempo]]="AB","",LOOKUP(Tabla15[[#This Row],[CLAS CLASE2]],'Datos puntos'!$A$25:$A$53,'Datos puntos'!$B$25:$B$53)),"")</f>
        <v/>
      </c>
      <c r="U21" s="183" t="str">
        <f>IF(Tabla15[[#This Row],[Puntos scratch3]]="","NO PUNTÚA",SUM(Tabla15[[#This Row],[Puntos scratch3]],Tabla15[[#This Row],[Puntos clase5]])*2)</f>
        <v>NO PUNTÚA</v>
      </c>
      <c r="X21" s="252" t="s">
        <v>172</v>
      </c>
    </row>
    <row r="22" spans="1:24" x14ac:dyDescent="0.35">
      <c r="A22" s="176">
        <v>17</v>
      </c>
      <c r="B22" s="176">
        <v>20</v>
      </c>
      <c r="C22" s="268" t="s">
        <v>591</v>
      </c>
      <c r="D22" s="179" t="s">
        <v>604</v>
      </c>
      <c r="E22" s="179" t="s">
        <v>168</v>
      </c>
      <c r="F22" s="179" t="s">
        <v>605</v>
      </c>
      <c r="G22" s="179" t="s">
        <v>168</v>
      </c>
      <c r="H22" s="179" t="s">
        <v>201</v>
      </c>
      <c r="I22" s="180" t="s">
        <v>24</v>
      </c>
      <c r="J22" s="180">
        <v>3</v>
      </c>
      <c r="K22" s="181"/>
      <c r="L22" s="183">
        <f>IF(AND(E22="M",Tabla15[[#This Row],[POS]]&lt;&gt;"AB",Tabla15[[#This Row],[POS]]&lt;&gt;"DSQ"),COUNTIF($E$6:E22,"M"),"")</f>
        <v>14</v>
      </c>
      <c r="M22" s="183">
        <f>IF(E22="M",IF(Tabla15[[#This Row],[Tiempo]]="AB","",LOOKUP(Tabla15[[#This Row],[CLAS SCRATCH]],'Datos puntos'!$A$2:$A$23,'Datos puntos'!$B$2:$B$23)),"")</f>
        <v>0</v>
      </c>
      <c r="N22" s="183">
        <f>IF(AND(E22="M",Tabla15[[#This Row],[POS]]&lt;&gt;"AB",Tabla15[[#This Row],[POS]]&lt;&gt;"DSQ"),COUNTIFS($J$6:J22,Tabla15[[#This Row],[Clase]],$E$6:E22,"M"),"")</f>
        <v>6</v>
      </c>
      <c r="O22" s="183">
        <f>IF(E22="M",IF(Tabla15[[#This Row],[Tiempo]]="AB","",LOOKUP(Tabla15[[#This Row],[CLAS CLASE]],'Datos puntos'!$A$25:$A$53,'Datos puntos'!$B$25:$B$53)),"")</f>
        <v>1</v>
      </c>
      <c r="P22" s="183">
        <f>IF(Tabla15[[#This Row],[Puntos scratch]]="","NO PUNTÚA",SUM(Tabla15[[#This Row],[Puntos scratch]],Tabla15[[#This Row],[Puntos clase]])*2)</f>
        <v>2</v>
      </c>
      <c r="Q22" s="183">
        <f>IF(AND(G22="M",Tabla15[[#This Row],[POS]]&lt;&gt;"AB",Tabla15[[#This Row],[POS]]&lt;&gt;"DSQ"),COUNTIF($G$6:G22,"M"),"")</f>
        <v>9</v>
      </c>
      <c r="R22" s="183">
        <f>IF(G22="M",IF(Tabla15[[#This Row],[Tiempo]]="AB","",LOOKUP(Tabla15[[#This Row],[CLAS SCRATCH2]],'Datos puntos'!$A$2:$A$23,'Datos puntos'!$B$2:$B$23)),"")</f>
        <v>5</v>
      </c>
      <c r="S22" s="183">
        <f>IF(AND(G22="M",Tabla15[[#This Row],[POS]]&lt;&gt;"AB",Tabla15[[#This Row],[POS]]&lt;&gt;"DSQ"),COUNTIFS($J$6:J22,Tabla15[[#This Row],[Clase]],$G$6:G22,"M"),"")</f>
        <v>5</v>
      </c>
      <c r="T22" s="183">
        <f>IF(G22="M",IF(Tabla15[[#This Row],[Tiempo]]="AB","",LOOKUP(Tabla15[[#This Row],[CLAS CLASE2]],'Datos puntos'!$A$25:$A$53,'Datos puntos'!$B$25:$B$53)),"")</f>
        <v>3</v>
      </c>
      <c r="U22" s="183">
        <f>IF(Tabla15[[#This Row],[Puntos scratch3]]="","NO PUNTÚA",SUM(Tabla15[[#This Row],[Puntos scratch3]],Tabla15[[#This Row],[Puntos clase5]])*2)</f>
        <v>16</v>
      </c>
      <c r="X22" s="491" t="s">
        <v>588</v>
      </c>
    </row>
    <row r="23" spans="1:24" x14ac:dyDescent="0.35">
      <c r="A23" s="186">
        <v>18</v>
      </c>
      <c r="B23" s="176">
        <v>24</v>
      </c>
      <c r="C23" s="244" t="s">
        <v>567</v>
      </c>
      <c r="D23" s="179" t="s">
        <v>606</v>
      </c>
      <c r="E23" s="179" t="s">
        <v>168</v>
      </c>
      <c r="F23" s="179" t="s">
        <v>212</v>
      </c>
      <c r="G23" s="179" t="s">
        <v>168</v>
      </c>
      <c r="H23" s="179" t="s">
        <v>314</v>
      </c>
      <c r="I23" s="180" t="s">
        <v>24</v>
      </c>
      <c r="J23" s="180">
        <v>3</v>
      </c>
      <c r="K23" s="181"/>
      <c r="L23" s="183">
        <f>IF(AND(E23="M",Tabla15[[#This Row],[POS]]&lt;&gt;"AB",Tabla15[[#This Row],[POS]]&lt;&gt;"DSQ"),COUNTIF($E$6:E23,"M"),"")</f>
        <v>15</v>
      </c>
      <c r="M23" s="183">
        <f>IF(E23="M",IF(Tabla15[[#This Row],[Tiempo]]="AB","",LOOKUP(Tabla15[[#This Row],[CLAS SCRATCH]],'Datos puntos'!$A$2:$A$23,'Datos puntos'!$B$2:$B$23)),"")</f>
        <v>0</v>
      </c>
      <c r="N23" s="183">
        <f>IF(AND(E23="M",Tabla15[[#This Row],[POS]]&lt;&gt;"AB",Tabla15[[#This Row],[POS]]&lt;&gt;"DSQ"),COUNTIFS($J$6:J23,Tabla15[[#This Row],[Clase]],$E$6:E23,"M"),"")</f>
        <v>7</v>
      </c>
      <c r="O23" s="183">
        <f>IF(E23="M",IF(Tabla15[[#This Row],[Tiempo]]="AB","",LOOKUP(Tabla15[[#This Row],[CLAS CLASE]],'Datos puntos'!$A$25:$A$53,'Datos puntos'!$B$25:$B$53)),"")</f>
        <v>0</v>
      </c>
      <c r="P23" s="183">
        <f>IF(Tabla15[[#This Row],[Puntos scratch]]="","NO PUNTÚA",SUM(Tabla15[[#This Row],[Puntos scratch]],Tabla15[[#This Row],[Puntos clase]])*2)</f>
        <v>0</v>
      </c>
      <c r="Q23" s="183">
        <f>IF(AND(G23="M",Tabla15[[#This Row],[POS]]&lt;&gt;"AB",Tabla15[[#This Row],[POS]]&lt;&gt;"DSQ"),COUNTIF($G$6:G23,"M"),"")</f>
        <v>10</v>
      </c>
      <c r="R23" s="183">
        <f>IF(G23="M",IF(Tabla15[[#This Row],[Tiempo]]="AB","",LOOKUP(Tabla15[[#This Row],[CLAS SCRATCH2]],'Datos puntos'!$A$2:$A$23,'Datos puntos'!$B$2:$B$23)),"")</f>
        <v>4</v>
      </c>
      <c r="S23" s="183">
        <f>IF(AND(G23="M",Tabla15[[#This Row],[POS]]&lt;&gt;"AB",Tabla15[[#This Row],[POS]]&lt;&gt;"DSQ"),COUNTIFS($J$6:J23,Tabla15[[#This Row],[Clase]],$G$6:G23,"M"),"")</f>
        <v>6</v>
      </c>
      <c r="T23" s="183">
        <f>IF(G23="M",IF(Tabla15[[#This Row],[Tiempo]]="AB","",LOOKUP(Tabla15[[#This Row],[CLAS CLASE2]],'Datos puntos'!$A$25:$A$53,'Datos puntos'!$B$25:$B$53)),"")</f>
        <v>1</v>
      </c>
      <c r="U23" s="183">
        <f>IF(Tabla15[[#This Row],[Puntos scratch3]]="","NO PUNTÚA",SUM(Tabla15[[#This Row],[Puntos scratch3]],Tabla15[[#This Row],[Puntos clase5]])*2)</f>
        <v>10</v>
      </c>
      <c r="X23" s="252" t="s">
        <v>172</v>
      </c>
    </row>
    <row r="24" spans="1:24" x14ac:dyDescent="0.35">
      <c r="A24" s="176">
        <v>19</v>
      </c>
      <c r="B24" s="176">
        <v>25</v>
      </c>
      <c r="C24" s="248" t="s">
        <v>588</v>
      </c>
      <c r="D24" s="179" t="s">
        <v>607</v>
      </c>
      <c r="E24" s="179" t="s">
        <v>168</v>
      </c>
      <c r="F24" s="179" t="s">
        <v>608</v>
      </c>
      <c r="G24" s="179" t="s">
        <v>168</v>
      </c>
      <c r="H24" s="179" t="s">
        <v>314</v>
      </c>
      <c r="I24" s="180" t="s">
        <v>24</v>
      </c>
      <c r="J24" s="180">
        <v>3</v>
      </c>
      <c r="K24" s="181"/>
      <c r="L24" s="183">
        <f>IF(AND(E24="M",Tabla15[[#This Row],[POS]]&lt;&gt;"AB",Tabla15[[#This Row],[POS]]&lt;&gt;"DSQ"),COUNTIF($E$6:E24,"M"),"")</f>
        <v>16</v>
      </c>
      <c r="M24" s="183">
        <f>IF(E24="M",IF(Tabla15[[#This Row],[Tiempo]]="AB","",LOOKUP(Tabla15[[#This Row],[CLAS SCRATCH]],'Datos puntos'!$A$2:$A$23,'Datos puntos'!$B$2:$B$23)),"")</f>
        <v>0</v>
      </c>
      <c r="N24" s="183">
        <f>IF(AND(E24="M",Tabla15[[#This Row],[POS]]&lt;&gt;"AB",Tabla15[[#This Row],[POS]]&lt;&gt;"DSQ"),COUNTIFS($J$6:J24,Tabla15[[#This Row],[Clase]],$E$6:E24,"M"),"")</f>
        <v>8</v>
      </c>
      <c r="O24" s="183">
        <f>IF(E24="M",IF(Tabla15[[#This Row],[Tiempo]]="AB","",LOOKUP(Tabla15[[#This Row],[CLAS CLASE]],'Datos puntos'!$A$25:$A$53,'Datos puntos'!$B$25:$B$53)),"")</f>
        <v>0</v>
      </c>
      <c r="P24" s="183">
        <f>IF(Tabla15[[#This Row],[Puntos scratch]]="","NO PUNTÚA",SUM(Tabla15[[#This Row],[Puntos scratch]],Tabla15[[#This Row],[Puntos clase]])*2)</f>
        <v>0</v>
      </c>
      <c r="Q24" s="183">
        <f>IF(AND(G24="M",Tabla15[[#This Row],[POS]]&lt;&gt;"AB",Tabla15[[#This Row],[POS]]&lt;&gt;"DSQ"),COUNTIF($G$6:G24,"M"),"")</f>
        <v>11</v>
      </c>
      <c r="R24" s="183">
        <f>IF(G24="M",IF(Tabla15[[#This Row],[Tiempo]]="AB","",LOOKUP(Tabla15[[#This Row],[CLAS SCRATCH2]],'Datos puntos'!$A$2:$A$23,'Datos puntos'!$B$2:$B$23)),"")</f>
        <v>3</v>
      </c>
      <c r="S24" s="183">
        <f>IF(AND(G24="M",Tabla15[[#This Row],[POS]]&lt;&gt;"AB",Tabla15[[#This Row],[POS]]&lt;&gt;"DSQ"),COUNTIFS($J$6:J24,Tabla15[[#This Row],[Clase]],$G$6:G24,"M"),"")</f>
        <v>7</v>
      </c>
      <c r="T24" s="183">
        <f>IF(G24="M",IF(Tabla15[[#This Row],[Tiempo]]="AB","",LOOKUP(Tabla15[[#This Row],[CLAS CLASE2]],'Datos puntos'!$A$25:$A$53,'Datos puntos'!$B$25:$B$53)),"")</f>
        <v>0</v>
      </c>
      <c r="U24" s="183">
        <f>IF(Tabla15[[#This Row],[Puntos scratch3]]="","NO PUNTÚA",SUM(Tabla15[[#This Row],[Puntos scratch3]],Tabla15[[#This Row],[Puntos clase5]])*2)</f>
        <v>6</v>
      </c>
      <c r="X24" s="492" t="s">
        <v>588</v>
      </c>
    </row>
    <row r="25" spans="1:24" x14ac:dyDescent="0.35">
      <c r="A25" s="176">
        <v>20</v>
      </c>
      <c r="B25" s="176">
        <v>21</v>
      </c>
      <c r="C25" s="464" t="s">
        <v>609</v>
      </c>
      <c r="D25" s="179" t="s">
        <v>610</v>
      </c>
      <c r="E25" s="179" t="s">
        <v>168</v>
      </c>
      <c r="F25" s="179" t="s">
        <v>611</v>
      </c>
      <c r="G25" s="179" t="s">
        <v>168</v>
      </c>
      <c r="H25" s="179" t="s">
        <v>612</v>
      </c>
      <c r="I25" s="180" t="s">
        <v>24</v>
      </c>
      <c r="J25" s="180">
        <v>3</v>
      </c>
      <c r="K25" s="181"/>
      <c r="L25" s="183">
        <f>IF(AND(E25="M",Tabla15[[#This Row],[POS]]&lt;&gt;"AB",Tabla15[[#This Row],[POS]]&lt;&gt;"DSQ"),COUNTIF($E$6:E25,"M"),"")</f>
        <v>17</v>
      </c>
      <c r="M25" s="183">
        <f>IF(E25="M",IF(Tabla15[[#This Row],[Tiempo]]="AB","",LOOKUP(Tabla15[[#This Row],[CLAS SCRATCH]],'Datos puntos'!$A$2:$A$23,'Datos puntos'!$B$2:$B$23)),"")</f>
        <v>0</v>
      </c>
      <c r="N25" s="183">
        <f>IF(AND(E25="M",Tabla15[[#This Row],[POS]]&lt;&gt;"AB",Tabla15[[#This Row],[POS]]&lt;&gt;"DSQ"),COUNTIFS($J$6:J25,Tabla15[[#This Row],[Clase]],$E$6:E25,"M"),"")</f>
        <v>9</v>
      </c>
      <c r="O25" s="183">
        <f>IF(E25="M",IF(Tabla15[[#This Row],[Tiempo]]="AB","",LOOKUP(Tabla15[[#This Row],[CLAS CLASE]],'Datos puntos'!$A$25:$A$53,'Datos puntos'!$B$25:$B$53)),"")</f>
        <v>0</v>
      </c>
      <c r="P25" s="183">
        <f>IF(Tabla15[[#This Row],[Puntos scratch]]="","NO PUNTÚA",SUM(Tabla15[[#This Row],[Puntos scratch]],Tabla15[[#This Row],[Puntos clase]])*2)</f>
        <v>0</v>
      </c>
      <c r="Q25" s="183">
        <f>IF(AND(G25="M",Tabla15[[#This Row],[POS]]&lt;&gt;"AB",Tabla15[[#This Row],[POS]]&lt;&gt;"DSQ"),COUNTIF($G$6:G25,"M"),"")</f>
        <v>12</v>
      </c>
      <c r="R25" s="183">
        <f>IF(G25="M",IF(Tabla15[[#This Row],[Tiempo]]="AB","",LOOKUP(Tabla15[[#This Row],[CLAS SCRATCH2]],'Datos puntos'!$A$2:$A$23,'Datos puntos'!$B$2:$B$23)),"")</f>
        <v>2</v>
      </c>
      <c r="S25" s="183">
        <f>IF(AND(G25="M",Tabla15[[#This Row],[POS]]&lt;&gt;"AB",Tabla15[[#This Row],[POS]]&lt;&gt;"DSQ"),COUNTIFS($J$6:J25,Tabla15[[#This Row],[Clase]],$G$6:G25,"M"),"")</f>
        <v>8</v>
      </c>
      <c r="T25" s="183">
        <f>IF(G25="M",IF(Tabla15[[#This Row],[Tiempo]]="AB","",LOOKUP(Tabla15[[#This Row],[CLAS CLASE2]],'Datos puntos'!$A$25:$A$53,'Datos puntos'!$B$25:$B$53)),"")</f>
        <v>0</v>
      </c>
      <c r="U25" s="183">
        <f>IF(Tabla15[[#This Row],[Puntos scratch3]]="","NO PUNTÚA",SUM(Tabla15[[#This Row],[Puntos scratch3]],Tabla15[[#This Row],[Puntos clase5]])*2)</f>
        <v>4</v>
      </c>
      <c r="X25" s="492" t="s">
        <v>588</v>
      </c>
    </row>
    <row r="26" spans="1:24" x14ac:dyDescent="0.35">
      <c r="A26" s="176">
        <v>21</v>
      </c>
      <c r="B26" s="176">
        <v>17</v>
      </c>
      <c r="C26" s="248" t="s">
        <v>588</v>
      </c>
      <c r="D26" s="179" t="s">
        <v>319</v>
      </c>
      <c r="E26" s="179" t="s">
        <v>168</v>
      </c>
      <c r="F26" s="179" t="s">
        <v>613</v>
      </c>
      <c r="G26" s="179" t="s">
        <v>168</v>
      </c>
      <c r="H26" s="179" t="s">
        <v>614</v>
      </c>
      <c r="I26" s="180" t="s">
        <v>24</v>
      </c>
      <c r="J26" s="180">
        <v>3</v>
      </c>
      <c r="K26" s="181"/>
      <c r="L26" s="183">
        <f>IF(AND(E26="M",Tabla15[[#This Row],[POS]]&lt;&gt;"AB",Tabla15[[#This Row],[POS]]&lt;&gt;"DSQ"),COUNTIF($E$6:E26,"M"),"")</f>
        <v>18</v>
      </c>
      <c r="M26" s="183">
        <f>IF(E26="M",IF(Tabla15[[#This Row],[Tiempo]]="AB","",LOOKUP(Tabla15[[#This Row],[CLAS SCRATCH]],'Datos puntos'!$A$2:$A$23,'Datos puntos'!$B$2:$B$23)),"")</f>
        <v>0</v>
      </c>
      <c r="N26" s="183">
        <f>IF(AND(E26="M",Tabla15[[#This Row],[POS]]&lt;&gt;"AB",Tabla15[[#This Row],[POS]]&lt;&gt;"DSQ"),COUNTIFS($J$6:J26,Tabla15[[#This Row],[Clase]],$E$6:E26,"M"),"")</f>
        <v>10</v>
      </c>
      <c r="O26" s="183">
        <f>IF(E26="M",IF(Tabla15[[#This Row],[Tiempo]]="AB","",LOOKUP(Tabla15[[#This Row],[CLAS CLASE]],'Datos puntos'!$A$25:$A$53,'Datos puntos'!$B$25:$B$53)),"")</f>
        <v>0</v>
      </c>
      <c r="P26" s="183">
        <f>IF(Tabla15[[#This Row],[Puntos scratch]]="","NO PUNTÚA",SUM(Tabla15[[#This Row],[Puntos scratch]],Tabla15[[#This Row],[Puntos clase]])*2)</f>
        <v>0</v>
      </c>
      <c r="Q26" s="183">
        <f>IF(AND(G26="M",Tabla15[[#This Row],[POS]]&lt;&gt;"AB",Tabla15[[#This Row],[POS]]&lt;&gt;"DSQ"),COUNTIF($G$6:G26,"M"),"")</f>
        <v>13</v>
      </c>
      <c r="R26" s="183">
        <f>IF(G26="M",IF(Tabla15[[#This Row],[Tiempo]]="AB","",LOOKUP(Tabla15[[#This Row],[CLAS SCRATCH2]],'Datos puntos'!$A$2:$A$23,'Datos puntos'!$B$2:$B$23)),"")</f>
        <v>1</v>
      </c>
      <c r="S26" s="183">
        <f>IF(AND(G26="M",Tabla15[[#This Row],[POS]]&lt;&gt;"AB",Tabla15[[#This Row],[POS]]&lt;&gt;"DSQ"),COUNTIFS($J$6:J26,Tabla15[[#This Row],[Clase]],$G$6:G26,"M"),"")</f>
        <v>9</v>
      </c>
      <c r="T26" s="183">
        <f>IF(G26="M",IF(Tabla15[[#This Row],[Tiempo]]="AB","",LOOKUP(Tabla15[[#This Row],[CLAS CLASE2]],'Datos puntos'!$A$25:$A$53,'Datos puntos'!$B$25:$B$53)),"")</f>
        <v>0</v>
      </c>
      <c r="U26" s="183">
        <f>IF(Tabla15[[#This Row],[Puntos scratch3]]="","NO PUNTÚA",SUM(Tabla15[[#This Row],[Puntos scratch3]],Tabla15[[#This Row],[Puntos clase5]])*2)</f>
        <v>2</v>
      </c>
      <c r="X26" s="251" t="s">
        <v>169</v>
      </c>
    </row>
    <row r="27" spans="1:24" x14ac:dyDescent="0.35">
      <c r="A27" s="176">
        <v>22</v>
      </c>
      <c r="B27" s="176">
        <v>18</v>
      </c>
      <c r="C27" s="179" t="s">
        <v>615</v>
      </c>
      <c r="D27" s="179" t="s">
        <v>616</v>
      </c>
      <c r="E27" s="179" t="s">
        <v>579</v>
      </c>
      <c r="F27" s="179" t="s">
        <v>617</v>
      </c>
      <c r="G27" s="179" t="s">
        <v>579</v>
      </c>
      <c r="H27" s="179" t="s">
        <v>618</v>
      </c>
      <c r="I27" s="180" t="s">
        <v>24</v>
      </c>
      <c r="J27" s="180">
        <v>5</v>
      </c>
      <c r="K27" s="181"/>
      <c r="L27" s="183" t="str">
        <f>IF(AND(E27="M",Tabla15[[#This Row],[POS]]&lt;&gt;"AB",Tabla15[[#This Row],[POS]]&lt;&gt;"DSQ"),COUNTIF($E$6:E27,"M"),"")</f>
        <v/>
      </c>
      <c r="M27" s="183" t="str">
        <f>IF(E27="M",IF(Tabla15[[#This Row],[Tiempo]]="AB","",LOOKUP(Tabla15[[#This Row],[CLAS SCRATCH]],'Datos puntos'!$A$2:$A$23,'Datos puntos'!$B$2:$B$23)),"")</f>
        <v/>
      </c>
      <c r="N27" s="183" t="str">
        <f>IF(AND(E27="M",Tabla15[[#This Row],[POS]]&lt;&gt;"AB",Tabla15[[#This Row],[POS]]&lt;&gt;"DSQ"),COUNTIFS($J$6:J27,Tabla15[[#This Row],[Clase]],$E$6:E27,"M"),"")</f>
        <v/>
      </c>
      <c r="O27" s="183" t="str">
        <f>IF(E27="M",IF(Tabla15[[#This Row],[Tiempo]]="AB","",LOOKUP(Tabla15[[#This Row],[CLAS CLASE]],'Datos puntos'!$A$25:$A$53,'Datos puntos'!$B$25:$B$53)),"")</f>
        <v/>
      </c>
      <c r="P27" s="183" t="str">
        <f>IF(Tabla15[[#This Row],[Puntos scratch]]="","NO PUNTÚA",SUM(Tabla15[[#This Row],[Puntos scratch]],Tabla15[[#This Row],[Puntos clase]])*2)</f>
        <v>NO PUNTÚA</v>
      </c>
      <c r="Q27" s="183" t="str">
        <f>IF(AND(G27="M",Tabla15[[#This Row],[POS]]&lt;&gt;"AB",Tabla15[[#This Row],[POS]]&lt;&gt;"DSQ"),COUNTIF($G$6:G27,"M"),"")</f>
        <v/>
      </c>
      <c r="R27" s="183" t="str">
        <f>IF(G27="M",IF(Tabla15[[#This Row],[Tiempo]]="AB","",LOOKUP(Tabla15[[#This Row],[CLAS SCRATCH2]],'Datos puntos'!$A$2:$A$23,'Datos puntos'!$B$2:$B$23)),"")</f>
        <v/>
      </c>
      <c r="S27" s="183" t="str">
        <f>IF(AND(G27="M",Tabla15[[#This Row],[POS]]&lt;&gt;"AB",Tabla15[[#This Row],[POS]]&lt;&gt;"DSQ"),COUNTIFS($J$6:J27,Tabla15[[#This Row],[Clase]],$G$6:G27,"M"),"")</f>
        <v/>
      </c>
      <c r="T27" s="183" t="str">
        <f>IF(G27="M",IF(Tabla15[[#This Row],[Tiempo]]="AB","",LOOKUP(Tabla15[[#This Row],[CLAS CLASE2]],'Datos puntos'!$A$25:$A$53,'Datos puntos'!$B$25:$B$53)),"")</f>
        <v/>
      </c>
      <c r="U27" s="183" t="str">
        <f>IF(Tabla15[[#This Row],[Puntos scratch3]]="","NO PUNTÚA",SUM(Tabla15[[#This Row],[Puntos scratch3]],Tabla15[[#This Row],[Puntos clase5]])*2)</f>
        <v>NO PUNTÚA</v>
      </c>
      <c r="X27" s="266" t="s">
        <v>634</v>
      </c>
    </row>
    <row r="28" spans="1:24" x14ac:dyDescent="0.35">
      <c r="A28" s="176">
        <v>23</v>
      </c>
      <c r="B28" s="176">
        <v>28</v>
      </c>
      <c r="C28" s="245" t="s">
        <v>172</v>
      </c>
      <c r="D28" s="179" t="s">
        <v>619</v>
      </c>
      <c r="E28" s="179" t="s">
        <v>168</v>
      </c>
      <c r="F28" s="179" t="s">
        <v>620</v>
      </c>
      <c r="G28" s="179" t="s">
        <v>168</v>
      </c>
      <c r="H28" s="179" t="s">
        <v>314</v>
      </c>
      <c r="I28" s="180" t="s">
        <v>24</v>
      </c>
      <c r="J28" s="180">
        <v>3</v>
      </c>
      <c r="K28" s="181"/>
      <c r="L28" s="183">
        <f>IF(AND(E28="M",Tabla15[[#This Row],[POS]]&lt;&gt;"AB",Tabla15[[#This Row],[POS]]&lt;&gt;"DSQ"),COUNTIF($E$6:E28,"M"),"")</f>
        <v>19</v>
      </c>
      <c r="M28" s="183">
        <f>IF(E28="M",IF(Tabla15[[#This Row],[Tiempo]]="AB","",LOOKUP(Tabla15[[#This Row],[CLAS SCRATCH]],'Datos puntos'!$A$2:$A$23,'Datos puntos'!$B$2:$B$23)),"")</f>
        <v>0</v>
      </c>
      <c r="N28" s="183">
        <f>IF(AND(E28="M",Tabla15[[#This Row],[POS]]&lt;&gt;"AB",Tabla15[[#This Row],[POS]]&lt;&gt;"DSQ"),COUNTIFS($J$6:J28,Tabla15[[#This Row],[Clase]],$E$6:E28,"M"),"")</f>
        <v>11</v>
      </c>
      <c r="O28" s="183">
        <f>IF(E28="M",IF(Tabla15[[#This Row],[Tiempo]]="AB","",LOOKUP(Tabla15[[#This Row],[CLAS CLASE]],'Datos puntos'!$A$25:$A$53,'Datos puntos'!$B$25:$B$53)),"")</f>
        <v>0</v>
      </c>
      <c r="P28" s="183">
        <f>IF(Tabla15[[#This Row],[Puntos scratch]]="","NO PUNTÚA",SUM(Tabla15[[#This Row],[Puntos scratch]],Tabla15[[#This Row],[Puntos clase]])*2)</f>
        <v>0</v>
      </c>
      <c r="Q28" s="183">
        <f>IF(AND(G28="M",Tabla15[[#This Row],[POS]]&lt;&gt;"AB",Tabla15[[#This Row],[POS]]&lt;&gt;"DSQ"),COUNTIF($G$6:G28,"M"),"")</f>
        <v>14</v>
      </c>
      <c r="R28" s="183">
        <f>IF(G28="M",IF(Tabla15[[#This Row],[Tiempo]]="AB","",LOOKUP(Tabla15[[#This Row],[CLAS SCRATCH2]],'Datos puntos'!$A$2:$A$23,'Datos puntos'!$B$2:$B$23)),"")</f>
        <v>0</v>
      </c>
      <c r="S28" s="183">
        <f>IF(AND(G28="M",Tabla15[[#This Row],[POS]]&lt;&gt;"AB",Tabla15[[#This Row],[POS]]&lt;&gt;"DSQ"),COUNTIFS($J$6:J28,Tabla15[[#This Row],[Clase]],$G$6:G28,"M"),"")</f>
        <v>10</v>
      </c>
      <c r="T28" s="183">
        <f>IF(G28="M",IF(Tabla15[[#This Row],[Tiempo]]="AB","",LOOKUP(Tabla15[[#This Row],[CLAS CLASE2]],'Datos puntos'!$A$25:$A$53,'Datos puntos'!$B$25:$B$53)),"")</f>
        <v>0</v>
      </c>
      <c r="U28" s="183">
        <f>IF(Tabla15[[#This Row],[Puntos scratch3]]="","NO PUNTÚA",SUM(Tabla15[[#This Row],[Puntos scratch3]],Tabla15[[#This Row],[Puntos clase5]])*2)</f>
        <v>0</v>
      </c>
      <c r="X28" s="493" t="s">
        <v>444</v>
      </c>
    </row>
    <row r="29" spans="1:24" x14ac:dyDescent="0.35">
      <c r="A29" s="176">
        <v>24</v>
      </c>
      <c r="B29" s="176">
        <v>34</v>
      </c>
      <c r="C29" s="179" t="s">
        <v>621</v>
      </c>
      <c r="D29" s="179" t="s">
        <v>621</v>
      </c>
      <c r="E29" s="179" t="s">
        <v>168</v>
      </c>
      <c r="F29" s="179" t="s">
        <v>622</v>
      </c>
      <c r="G29" s="179" t="s">
        <v>623</v>
      </c>
      <c r="H29" s="179" t="s">
        <v>176</v>
      </c>
      <c r="I29" s="180" t="s">
        <v>24</v>
      </c>
      <c r="J29" s="180">
        <v>4</v>
      </c>
      <c r="K29" s="181"/>
      <c r="L29" s="183">
        <f>IF(AND(E29="M",Tabla15[[#This Row],[POS]]&lt;&gt;"AB",Tabla15[[#This Row],[POS]]&lt;&gt;"DSQ"),COUNTIF($E$6:E29,"M"),"")</f>
        <v>20</v>
      </c>
      <c r="M29" s="183">
        <f>IF(E29="M",IF(Tabla15[[#This Row],[Tiempo]]="AB","",LOOKUP(Tabla15[[#This Row],[CLAS SCRATCH]],'Datos puntos'!$A$2:$A$23,'Datos puntos'!$B$2:$B$23)),"")</f>
        <v>0</v>
      </c>
      <c r="N29" s="183">
        <f>IF(AND(E29="M",Tabla15[[#This Row],[POS]]&lt;&gt;"AB",Tabla15[[#This Row],[POS]]&lt;&gt;"DSQ"),COUNTIFS($J$6:J29,Tabla15[[#This Row],[Clase]],$E$6:E29,"M"),"")</f>
        <v>3</v>
      </c>
      <c r="O29" s="183">
        <f>IF(E29="M",IF(Tabla15[[#This Row],[Tiempo]]="AB","",LOOKUP(Tabla15[[#This Row],[CLAS CLASE]],'Datos puntos'!$A$25:$A$53,'Datos puntos'!$B$25:$B$53)),"")</f>
        <v>6</v>
      </c>
      <c r="P29" s="183">
        <f>IF(Tabla15[[#This Row],[Puntos scratch]]="","NO PUNTÚA",SUM(Tabla15[[#This Row],[Puntos scratch]],Tabla15[[#This Row],[Puntos clase]])*2)</f>
        <v>12</v>
      </c>
      <c r="Q29" s="183" t="str">
        <f>IF(AND(G29="M",Tabla15[[#This Row],[POS]]&lt;&gt;"AB",Tabla15[[#This Row],[POS]]&lt;&gt;"DSQ"),COUNTIF($G$6:G29,"M"),"")</f>
        <v/>
      </c>
      <c r="R29" s="183" t="str">
        <f>IF(G29="M",IF(Tabla15[[#This Row],[Tiempo]]="AB","",LOOKUP(Tabla15[[#This Row],[CLAS SCRATCH2]],'Datos puntos'!$A$2:$A$23,'Datos puntos'!$B$2:$B$23)),"")</f>
        <v/>
      </c>
      <c r="S29" s="183" t="str">
        <f>IF(AND(G29="M",Tabla15[[#This Row],[POS]]&lt;&gt;"AB",Tabla15[[#This Row],[POS]]&lt;&gt;"DSQ"),COUNTIFS($J$6:J29,Tabla15[[#This Row],[Clase]],$G$6:G29,"M"),"")</f>
        <v/>
      </c>
      <c r="T29" s="183" t="str">
        <f>IF(G29="M",IF(Tabla15[[#This Row],[Tiempo]]="AB","",LOOKUP(Tabla15[[#This Row],[CLAS CLASE2]],'Datos puntos'!$A$25:$A$53,'Datos puntos'!$B$25:$B$53)),"")</f>
        <v/>
      </c>
      <c r="U29" s="183" t="str">
        <f>IF(Tabla15[[#This Row],[Puntos scratch3]]="","NO PUNTÚA",SUM(Tabla15[[#This Row],[Puntos scratch3]],Tabla15[[#This Row],[Puntos clase5]])*2)</f>
        <v>NO PUNTÚA</v>
      </c>
      <c r="X29" s="268"/>
    </row>
    <row r="30" spans="1:24" x14ac:dyDescent="0.35">
      <c r="A30" s="176">
        <v>25</v>
      </c>
      <c r="B30" s="176">
        <v>33</v>
      </c>
      <c r="C30" s="465" t="s">
        <v>588</v>
      </c>
      <c r="D30" s="179" t="s">
        <v>624</v>
      </c>
      <c r="E30" s="179" t="s">
        <v>168</v>
      </c>
      <c r="F30" s="179" t="s">
        <v>625</v>
      </c>
      <c r="G30" s="179" t="s">
        <v>168</v>
      </c>
      <c r="H30" s="179" t="s">
        <v>176</v>
      </c>
      <c r="I30" s="180" t="s">
        <v>24</v>
      </c>
      <c r="J30" s="180">
        <v>4</v>
      </c>
      <c r="K30" s="181"/>
      <c r="L30" s="183">
        <f>IF(AND(E30="M",Tabla15[[#This Row],[POS]]&lt;&gt;"AB",Tabla15[[#This Row],[POS]]&lt;&gt;"DSQ"),COUNTIF($E$6:E30,"M"),"")</f>
        <v>21</v>
      </c>
      <c r="M30" s="183">
        <f>IF(E30="M",IF(Tabla15[[#This Row],[Tiempo]]="AB","",LOOKUP(Tabla15[[#This Row],[CLAS SCRATCH]],'Datos puntos'!$A$2:$A$23,'Datos puntos'!$B$2:$B$23)),"")</f>
        <v>0</v>
      </c>
      <c r="N30" s="183">
        <f>IF(AND(E30="M",Tabla15[[#This Row],[POS]]&lt;&gt;"AB",Tabla15[[#This Row],[POS]]&lt;&gt;"DSQ"),COUNTIFS($J$6:J30,Tabla15[[#This Row],[Clase]],$E$6:E30,"M"),"")</f>
        <v>4</v>
      </c>
      <c r="O30" s="183">
        <f>IF(E30="M",IF(Tabla15[[#This Row],[Tiempo]]="AB","",LOOKUP(Tabla15[[#This Row],[CLAS CLASE]],'Datos puntos'!$A$25:$A$53,'Datos puntos'!$B$25:$B$53)),"")</f>
        <v>5</v>
      </c>
      <c r="P30" s="183">
        <f>IF(Tabla15[[#This Row],[Puntos scratch]]="","NO PUNTÚA",SUM(Tabla15[[#This Row],[Puntos scratch]],Tabla15[[#This Row],[Puntos clase]])*2)</f>
        <v>10</v>
      </c>
      <c r="Q30" s="183">
        <f>IF(AND(G30="M",Tabla15[[#This Row],[POS]]&lt;&gt;"AB",Tabla15[[#This Row],[POS]]&lt;&gt;"DSQ"),COUNTIF($G$6:G30,"M"),"")</f>
        <v>15</v>
      </c>
      <c r="R30" s="183">
        <f>IF(G30="M",IF(Tabla15[[#This Row],[Tiempo]]="AB","",LOOKUP(Tabla15[[#This Row],[CLAS SCRATCH2]],'Datos puntos'!$A$2:$A$23,'Datos puntos'!$B$2:$B$23)),"")</f>
        <v>0</v>
      </c>
      <c r="S30" s="183">
        <f>IF(AND(G30="M",Tabla15[[#This Row],[POS]]&lt;&gt;"AB",Tabla15[[#This Row],[POS]]&lt;&gt;"DSQ"),COUNTIFS($J$6:J30,Tabla15[[#This Row],[Clase]],$G$6:G30,"M"),"")</f>
        <v>1</v>
      </c>
      <c r="T30" s="183">
        <f>IF(G30="M",IF(Tabla15[[#This Row],[Tiempo]]="AB","",LOOKUP(Tabla15[[#This Row],[CLAS CLASE2]],'Datos puntos'!$A$25:$A$53,'Datos puntos'!$B$25:$B$53)),"")</f>
        <v>10</v>
      </c>
      <c r="U30" s="183">
        <f>IF(Tabla15[[#This Row],[Puntos scratch3]]="","NO PUNTÚA",SUM(Tabla15[[#This Row],[Puntos scratch3]],Tabla15[[#This Row],[Puntos clase5]])*2)</f>
        <v>20</v>
      </c>
      <c r="X30" s="268"/>
    </row>
    <row r="31" spans="1:24" x14ac:dyDescent="0.35">
      <c r="A31" s="176" t="s">
        <v>179</v>
      </c>
      <c r="B31" s="176">
        <v>15</v>
      </c>
      <c r="C31" s="245" t="s">
        <v>172</v>
      </c>
      <c r="D31" s="179" t="s">
        <v>626</v>
      </c>
      <c r="E31" s="179" t="s">
        <v>168</v>
      </c>
      <c r="F31" s="179" t="s">
        <v>627</v>
      </c>
      <c r="G31" s="179" t="s">
        <v>168</v>
      </c>
      <c r="H31" s="179" t="s">
        <v>298</v>
      </c>
      <c r="I31" s="180" t="s">
        <v>200</v>
      </c>
      <c r="J31" s="180">
        <v>5</v>
      </c>
      <c r="K31" s="181" t="s">
        <v>179</v>
      </c>
      <c r="L31" s="183" t="str">
        <f>IF(AND(E31="M",Tabla15[[#This Row],[POS]]&lt;&gt;"AB",Tabla15[[#This Row],[POS]]&lt;&gt;"DSQ"),COUNTIF($E$6:E31,"M"),"")</f>
        <v/>
      </c>
      <c r="M31" s="183" t="str">
        <f>IF(E31="M",IF(Tabla15[[#This Row],[Tiempo]]="AB","",LOOKUP(Tabla15[[#This Row],[CLAS SCRATCH]],'Datos puntos'!$A$2:$A$23,'Datos puntos'!$B$2:$B$23)),"")</f>
        <v/>
      </c>
      <c r="N31" s="183" t="str">
        <f>IF(AND(E31="M",Tabla15[[#This Row],[POS]]&lt;&gt;"AB",Tabla15[[#This Row],[POS]]&lt;&gt;"DSQ"),COUNTIFS($J$6:J31,Tabla15[[#This Row],[Clase]],$E$6:E31,"M"),"")</f>
        <v/>
      </c>
      <c r="O31" s="183" t="str">
        <f>IF(E31="M",IF(Tabla15[[#This Row],[Tiempo]]="AB","",LOOKUP(Tabla15[[#This Row],[CLAS CLASE]],'Datos puntos'!$A$25:$A$53,'Datos puntos'!$B$25:$B$53)),"")</f>
        <v/>
      </c>
      <c r="P31" s="183" t="str">
        <f>IF(Tabla15[[#This Row],[Puntos scratch]]="","NO PUNTÚA",SUM(Tabla15[[#This Row],[Puntos scratch]],Tabla15[[#This Row],[Puntos clase]])*2)</f>
        <v>NO PUNTÚA</v>
      </c>
      <c r="Q31" s="183" t="str">
        <f>IF(AND(G31="M",Tabla15[[#This Row],[POS]]&lt;&gt;"AB",Tabla15[[#This Row],[POS]]&lt;&gt;"DSQ"),COUNTIF($G$6:G31,"M"),"")</f>
        <v/>
      </c>
      <c r="R31" s="183" t="str">
        <f>IF(G31="M",IF(Tabla15[[#This Row],[Tiempo]]="AB","",LOOKUP(Tabla15[[#This Row],[CLAS SCRATCH2]],'Datos puntos'!$A$2:$A$23,'Datos puntos'!$B$2:$B$23)),"")</f>
        <v/>
      </c>
      <c r="S31" s="183" t="str">
        <f>IF(AND(G31="M",Tabla15[[#This Row],[POS]]&lt;&gt;"AB",Tabla15[[#This Row],[POS]]&lt;&gt;"DSQ"),COUNTIFS($J$6:J31,Tabla15[[#This Row],[Clase]],$G$6:G31,"M"),"")</f>
        <v/>
      </c>
      <c r="T31" s="183" t="str">
        <f>IF(G31="M",IF(Tabla15[[#This Row],[Tiempo]]="AB","",LOOKUP(Tabla15[[#This Row],[CLAS CLASE2]],'Datos puntos'!$A$25:$A$53,'Datos puntos'!$B$25:$B$53)),"")</f>
        <v/>
      </c>
      <c r="U31" s="183" t="str">
        <f>IF(Tabla15[[#This Row],[Puntos scratch3]]="","NO PUNTÚA",SUM(Tabla15[[#This Row],[Puntos scratch3]],Tabla15[[#This Row],[Puntos clase5]])*2)</f>
        <v>NO PUNTÚA</v>
      </c>
    </row>
    <row r="32" spans="1:24" x14ac:dyDescent="0.35">
      <c r="A32" s="176" t="s">
        <v>179</v>
      </c>
      <c r="B32" s="176">
        <v>16</v>
      </c>
      <c r="C32" s="466" t="s">
        <v>588</v>
      </c>
      <c r="D32" s="179" t="s">
        <v>628</v>
      </c>
      <c r="E32" s="179" t="s">
        <v>168</v>
      </c>
      <c r="F32" s="179" t="s">
        <v>629</v>
      </c>
      <c r="G32" s="179" t="s">
        <v>168</v>
      </c>
      <c r="H32" s="179" t="s">
        <v>630</v>
      </c>
      <c r="I32" s="180" t="s">
        <v>24</v>
      </c>
      <c r="J32" s="180">
        <v>2</v>
      </c>
      <c r="K32" s="181" t="s">
        <v>179</v>
      </c>
      <c r="L32" s="183" t="str">
        <f>IF(AND(E32="M",Tabla15[[#This Row],[POS]]&lt;&gt;"AB",Tabla15[[#This Row],[POS]]&lt;&gt;"DSQ"),COUNTIF($E$6:E32,"M"),"")</f>
        <v/>
      </c>
      <c r="M32" s="183" t="str">
        <f>IF(E32="M",IF(Tabla15[[#This Row],[Tiempo]]="AB","",LOOKUP(Tabla15[[#This Row],[CLAS SCRATCH]],'Datos puntos'!$A$2:$A$23,'Datos puntos'!$B$2:$B$23)),"")</f>
        <v/>
      </c>
      <c r="N32" s="183" t="str">
        <f>IF(AND(E32="M",Tabla15[[#This Row],[POS]]&lt;&gt;"AB",Tabla15[[#This Row],[POS]]&lt;&gt;"DSQ"),COUNTIFS($J$6:J32,Tabla15[[#This Row],[Clase]],$E$6:E32,"M"),"")</f>
        <v/>
      </c>
      <c r="O32" s="183" t="str">
        <f>IF(E32="M",IF(Tabla15[[#This Row],[Tiempo]]="AB","",LOOKUP(Tabla15[[#This Row],[CLAS CLASE]],'Datos puntos'!$A$25:$A$53,'Datos puntos'!$B$25:$B$53)),"")</f>
        <v/>
      </c>
      <c r="P32" s="183" t="str">
        <f>IF(Tabla15[[#This Row],[Puntos scratch]]="","NO PUNTÚA",SUM(Tabla15[[#This Row],[Puntos scratch]],Tabla15[[#This Row],[Puntos clase]])*2)</f>
        <v>NO PUNTÚA</v>
      </c>
      <c r="Q32" s="183" t="str">
        <f>IF(AND(G32="M",Tabla15[[#This Row],[POS]]&lt;&gt;"AB",Tabla15[[#This Row],[POS]]&lt;&gt;"DSQ"),COUNTIF($G$6:G32,"M"),"")</f>
        <v/>
      </c>
      <c r="R32" s="183" t="str">
        <f>IF(G32="M",IF(Tabla15[[#This Row],[Tiempo]]="AB","",LOOKUP(Tabla15[[#This Row],[CLAS SCRATCH2]],'Datos puntos'!$A$2:$A$23,'Datos puntos'!$B$2:$B$23)),"")</f>
        <v/>
      </c>
      <c r="S32" s="183" t="str">
        <f>IF(AND(G32="M",Tabla15[[#This Row],[POS]]&lt;&gt;"AB",Tabla15[[#This Row],[POS]]&lt;&gt;"DSQ"),COUNTIFS($J$6:J32,Tabla15[[#This Row],[Clase]],$G$6:G32,"M"),"")</f>
        <v/>
      </c>
      <c r="T32" s="183" t="str">
        <f>IF(G32="M",IF(Tabla15[[#This Row],[Tiempo]]="AB","",LOOKUP(Tabla15[[#This Row],[CLAS CLASE2]],'Datos puntos'!$A$25:$A$53,'Datos puntos'!$B$25:$B$53)),"")</f>
        <v/>
      </c>
      <c r="U32" s="183" t="str">
        <f>IF(Tabla15[[#This Row],[Puntos scratch3]]="","NO PUNTÚA",SUM(Tabla15[[#This Row],[Puntos scratch3]],Tabla15[[#This Row],[Puntos clase5]])*2)</f>
        <v>NO PUNTÚA</v>
      </c>
    </row>
    <row r="33" spans="1:24" x14ac:dyDescent="0.35">
      <c r="A33" s="176" t="s">
        <v>179</v>
      </c>
      <c r="B33" s="176">
        <v>22</v>
      </c>
      <c r="C33" s="466" t="s">
        <v>588</v>
      </c>
      <c r="D33" s="179" t="s">
        <v>408</v>
      </c>
      <c r="E33" s="179" t="s">
        <v>168</v>
      </c>
      <c r="F33" s="179" t="s">
        <v>631</v>
      </c>
      <c r="G33" s="179" t="s">
        <v>168</v>
      </c>
      <c r="H33" s="179" t="s">
        <v>419</v>
      </c>
      <c r="I33" s="180" t="s">
        <v>24</v>
      </c>
      <c r="J33" s="180">
        <v>5</v>
      </c>
      <c r="K33" s="181" t="s">
        <v>179</v>
      </c>
      <c r="L33" s="183" t="str">
        <f>IF(AND(E33="M",Tabla15[[#This Row],[POS]]&lt;&gt;"AB",Tabla15[[#This Row],[POS]]&lt;&gt;"DSQ"),COUNTIF($E$6:E33,"M"),"")</f>
        <v/>
      </c>
      <c r="M33" s="183" t="str">
        <f>IF(E33="M",IF(Tabla15[[#This Row],[Tiempo]]="AB","",LOOKUP(Tabla15[[#This Row],[CLAS SCRATCH]],'Datos puntos'!$A$2:$A$23,'Datos puntos'!$B$2:$B$23)),"")</f>
        <v/>
      </c>
      <c r="N33" s="183" t="str">
        <f>IF(AND(E33="M",Tabla15[[#This Row],[POS]]&lt;&gt;"AB",Tabla15[[#This Row],[POS]]&lt;&gt;"DSQ"),COUNTIFS($J$6:J33,Tabla15[[#This Row],[Clase]],$E$6:E33,"M"),"")</f>
        <v/>
      </c>
      <c r="O33" s="183" t="str">
        <f>IF(E33="M",IF(Tabla15[[#This Row],[Tiempo]]="AB","",LOOKUP(Tabla15[[#This Row],[CLAS CLASE]],'Datos puntos'!$A$25:$A$53,'Datos puntos'!$B$25:$B$53)),"")</f>
        <v/>
      </c>
      <c r="P33" s="183" t="str">
        <f>IF(Tabla15[[#This Row],[Puntos scratch]]="","NO PUNTÚA",SUM(Tabla15[[#This Row],[Puntos scratch]],Tabla15[[#This Row],[Puntos clase]])*2)</f>
        <v>NO PUNTÚA</v>
      </c>
      <c r="Q33" s="183" t="str">
        <f>IF(AND(G33="M",Tabla15[[#This Row],[POS]]&lt;&gt;"AB",Tabla15[[#This Row],[POS]]&lt;&gt;"DSQ"),COUNTIF($G$6:G33,"M"),"")</f>
        <v/>
      </c>
      <c r="R33" s="183" t="str">
        <f>IF(G33="M",IF(Tabla15[[#This Row],[Tiempo]]="AB","",LOOKUP(Tabla15[[#This Row],[CLAS SCRATCH2]],'Datos puntos'!$A$2:$A$23,'Datos puntos'!$B$2:$B$23)),"")</f>
        <v/>
      </c>
      <c r="S33" s="183" t="str">
        <f>IF(AND(G33="M",Tabla15[[#This Row],[POS]]&lt;&gt;"AB",Tabla15[[#This Row],[POS]]&lt;&gt;"DSQ"),COUNTIFS($J$6:J33,Tabla15[[#This Row],[Clase]],$G$6:G33,"M"),"")</f>
        <v/>
      </c>
      <c r="T33" s="183" t="str">
        <f>IF(G33="M",IF(Tabla15[[#This Row],[Tiempo]]="AB","",LOOKUP(Tabla15[[#This Row],[CLAS CLASE2]],'Datos puntos'!$A$25:$A$53,'Datos puntos'!$B$25:$B$53)),"")</f>
        <v/>
      </c>
      <c r="U33" s="183" t="str">
        <f>IF(Tabla15[[#This Row],[Puntos scratch3]]="","NO PUNTÚA",SUM(Tabla15[[#This Row],[Puntos scratch3]],Tabla15[[#This Row],[Puntos clase5]])*2)</f>
        <v>NO PUNTÚA</v>
      </c>
    </row>
    <row r="34" spans="1:24" x14ac:dyDescent="0.35">
      <c r="A34" s="176" t="s">
        <v>179</v>
      </c>
      <c r="B34" s="176">
        <v>26</v>
      </c>
      <c r="C34" s="246" t="s">
        <v>169</v>
      </c>
      <c r="D34" s="179" t="s">
        <v>632</v>
      </c>
      <c r="E34" s="179" t="s">
        <v>168</v>
      </c>
      <c r="F34" s="179" t="s">
        <v>633</v>
      </c>
      <c r="G34" s="179" t="s">
        <v>168</v>
      </c>
      <c r="H34" s="179" t="s">
        <v>314</v>
      </c>
      <c r="I34" s="180" t="s">
        <v>24</v>
      </c>
      <c r="J34" s="180">
        <v>3</v>
      </c>
      <c r="K34" s="181" t="s">
        <v>179</v>
      </c>
      <c r="L34" s="183" t="str">
        <f>IF(AND(E34="M",Tabla15[[#This Row],[POS]]&lt;&gt;"AB",Tabla15[[#This Row],[POS]]&lt;&gt;"DSQ"),COUNTIF($E$6:E34,"M"),"")</f>
        <v/>
      </c>
      <c r="M34" s="183" t="str">
        <f>IF(E34="M",IF(Tabla15[[#This Row],[Tiempo]]="AB","",LOOKUP(Tabla15[[#This Row],[CLAS SCRATCH]],'Datos puntos'!$A$2:$A$23,'Datos puntos'!$B$2:$B$23)),"")</f>
        <v/>
      </c>
      <c r="N34" s="183" t="str">
        <f>IF(AND(E34="M",Tabla15[[#This Row],[POS]]&lt;&gt;"AB",Tabla15[[#This Row],[POS]]&lt;&gt;"DSQ"),COUNTIFS($J$6:J34,Tabla15[[#This Row],[Clase]],$E$6:E34,"M"),"")</f>
        <v/>
      </c>
      <c r="O34" s="183" t="str">
        <f>IF(E34="M",IF(Tabla15[[#This Row],[Tiempo]]="AB","",LOOKUP(Tabla15[[#This Row],[CLAS CLASE]],'Datos puntos'!$A$25:$A$53,'Datos puntos'!$B$25:$B$53)),"")</f>
        <v/>
      </c>
      <c r="P34" s="183" t="str">
        <f>IF(Tabla15[[#This Row],[Puntos scratch]]="","NO PUNTÚA",SUM(Tabla15[[#This Row],[Puntos scratch]],Tabla15[[#This Row],[Puntos clase]])*2)</f>
        <v>NO PUNTÚA</v>
      </c>
      <c r="Q34" s="183" t="str">
        <f>IF(AND(G34="M",Tabla15[[#This Row],[POS]]&lt;&gt;"AB",Tabla15[[#This Row],[POS]]&lt;&gt;"DSQ"),COUNTIF($G$6:G34,"M"),"")</f>
        <v/>
      </c>
      <c r="R34" s="183" t="str">
        <f>IF(G34="M",IF(Tabla15[[#This Row],[Tiempo]]="AB","",LOOKUP(Tabla15[[#This Row],[CLAS SCRATCH2]],'Datos puntos'!$A$2:$A$23,'Datos puntos'!$B$2:$B$23)),"")</f>
        <v/>
      </c>
      <c r="S34" s="183" t="str">
        <f>IF(AND(G34="M",Tabla15[[#This Row],[POS]]&lt;&gt;"AB",Tabla15[[#This Row],[POS]]&lt;&gt;"DSQ"),COUNTIFS($J$6:J34,Tabla15[[#This Row],[Clase]],$G$6:G34,"M"),"")</f>
        <v/>
      </c>
      <c r="T34" s="183" t="str">
        <f>IF(G34="M",IF(Tabla15[[#This Row],[Tiempo]]="AB","",LOOKUP(Tabla15[[#This Row],[CLAS CLASE2]],'Datos puntos'!$A$25:$A$53,'Datos puntos'!$B$25:$B$53)),"")</f>
        <v/>
      </c>
      <c r="U34" s="183" t="str">
        <f>IF(Tabla15[[#This Row],[Puntos scratch3]]="","NO PUNTÚA",SUM(Tabla15[[#This Row],[Puntos scratch3]],Tabla15[[#This Row],[Puntos clase5]])*2)</f>
        <v>NO PUNTÚA</v>
      </c>
    </row>
    <row r="35" spans="1:24" x14ac:dyDescent="0.35">
      <c r="A35" s="176" t="s">
        <v>179</v>
      </c>
      <c r="B35" s="176">
        <v>30</v>
      </c>
      <c r="C35" s="490" t="s">
        <v>634</v>
      </c>
      <c r="D35" s="179" t="s">
        <v>635</v>
      </c>
      <c r="E35" s="179" t="s">
        <v>168</v>
      </c>
      <c r="F35" s="179" t="s">
        <v>636</v>
      </c>
      <c r="G35" s="179" t="s">
        <v>168</v>
      </c>
      <c r="H35" s="179" t="s">
        <v>247</v>
      </c>
      <c r="I35" s="180" t="s">
        <v>24</v>
      </c>
      <c r="J35" s="180">
        <v>5</v>
      </c>
      <c r="K35" s="181" t="s">
        <v>179</v>
      </c>
      <c r="L35" s="183" t="str">
        <f>IF(AND(E35="M",Tabla15[[#This Row],[POS]]&lt;&gt;"AB",Tabla15[[#This Row],[POS]]&lt;&gt;"DSQ"),COUNTIF($E$6:E35,"M"),"")</f>
        <v/>
      </c>
      <c r="M35" s="183" t="str">
        <f>IF(E35="M",IF(Tabla15[[#This Row],[Tiempo]]="AB","",LOOKUP(Tabla15[[#This Row],[CLAS SCRATCH]],'Datos puntos'!$A$2:$A$23,'Datos puntos'!$B$2:$B$23)),"")</f>
        <v/>
      </c>
      <c r="N35" s="183" t="str">
        <f>IF(AND(E35="M",Tabla15[[#This Row],[POS]]&lt;&gt;"AB",Tabla15[[#This Row],[POS]]&lt;&gt;"DSQ"),COUNTIFS($J$6:J35,Tabla15[[#This Row],[Clase]],$E$6:E35,"M"),"")</f>
        <v/>
      </c>
      <c r="O35" s="183" t="str">
        <f>IF(E35="M",IF(Tabla15[[#This Row],[Tiempo]]="AB","",LOOKUP(Tabla15[[#This Row],[CLAS CLASE]],'Datos puntos'!$A$25:$A$53,'Datos puntos'!$B$25:$B$53)),"")</f>
        <v/>
      </c>
      <c r="P35" s="183" t="str">
        <f>IF(Tabla15[[#This Row],[Puntos scratch]]="","NO PUNTÚA",SUM(Tabla15[[#This Row],[Puntos scratch]],Tabla15[[#This Row],[Puntos clase]])*2)</f>
        <v>NO PUNTÚA</v>
      </c>
      <c r="Q35" s="183" t="str">
        <f>IF(AND(G35="M",Tabla15[[#This Row],[POS]]&lt;&gt;"AB",Tabla15[[#This Row],[POS]]&lt;&gt;"DSQ"),COUNTIF($G$6:G35,"M"),"")</f>
        <v/>
      </c>
      <c r="R35" s="183" t="str">
        <f>IF(G35="M",IF(Tabla15[[#This Row],[Tiempo]]="AB","",LOOKUP(Tabla15[[#This Row],[CLAS SCRATCH2]],'Datos puntos'!$A$2:$A$23,'Datos puntos'!$B$2:$B$23)),"")</f>
        <v/>
      </c>
      <c r="S35" s="183" t="str">
        <f>IF(AND(G35="M",Tabla15[[#This Row],[POS]]&lt;&gt;"AB",Tabla15[[#This Row],[POS]]&lt;&gt;"DSQ"),COUNTIFS($J$6:J35,Tabla15[[#This Row],[Clase]],$G$6:G35,"M"),"")</f>
        <v/>
      </c>
      <c r="T35" s="183" t="str">
        <f>IF(G35="M",IF(Tabla15[[#This Row],[Tiempo]]="AB","",LOOKUP(Tabla15[[#This Row],[CLAS CLASE2]],'Datos puntos'!$A$25:$A$53,'Datos puntos'!$B$25:$B$53)),"")</f>
        <v/>
      </c>
      <c r="U35" s="183" t="str">
        <f>IF(Tabla15[[#This Row],[Puntos scratch3]]="","NO PUNTÚA",SUM(Tabla15[[#This Row],[Puntos scratch3]],Tabla15[[#This Row],[Puntos clase5]])*2)</f>
        <v>NO PUNTÚA</v>
      </c>
    </row>
    <row r="36" spans="1:24" x14ac:dyDescent="0.35">
      <c r="A36" s="176" t="s">
        <v>179</v>
      </c>
      <c r="B36" s="176">
        <v>35</v>
      </c>
      <c r="C36" s="467" t="s">
        <v>444</v>
      </c>
      <c r="D36" s="179" t="s">
        <v>637</v>
      </c>
      <c r="E36" s="468" t="s">
        <v>168</v>
      </c>
      <c r="F36" s="179" t="s">
        <v>638</v>
      </c>
      <c r="G36" s="179" t="s">
        <v>168</v>
      </c>
      <c r="H36" s="179" t="s">
        <v>176</v>
      </c>
      <c r="I36" s="180" t="s">
        <v>24</v>
      </c>
      <c r="J36" s="180">
        <v>4</v>
      </c>
      <c r="K36" s="181" t="s">
        <v>179</v>
      </c>
      <c r="L36" s="183" t="str">
        <f>IF(AND(E36="M",Tabla15[[#This Row],[POS]]&lt;&gt;"AB",Tabla15[[#This Row],[POS]]&lt;&gt;"DSQ"),COUNTIF($E$6:E36,"M"),"")</f>
        <v/>
      </c>
      <c r="M36" s="183" t="str">
        <f>IF(E36="M",IF(Tabla15[[#This Row],[Tiempo]]="AB","",LOOKUP(Tabla15[[#This Row],[CLAS SCRATCH]],'Datos puntos'!$A$2:$A$23,'Datos puntos'!$B$2:$B$23)),"")</f>
        <v/>
      </c>
      <c r="N36" s="183" t="str">
        <f>IF(AND(E36="M",Tabla15[[#This Row],[POS]]&lt;&gt;"AB",Tabla15[[#This Row],[POS]]&lt;&gt;"DSQ"),COUNTIFS($J$6:J36,Tabla15[[#This Row],[Clase]],$E$6:E36,"M"),"")</f>
        <v/>
      </c>
      <c r="O36" s="183" t="str">
        <f>IF(E36="M",IF(Tabla15[[#This Row],[Tiempo]]="AB","",LOOKUP(Tabla15[[#This Row],[CLAS CLASE]],'Datos puntos'!$A$25:$A$53,'Datos puntos'!$B$25:$B$53)),"")</f>
        <v/>
      </c>
      <c r="P36" s="183" t="str">
        <f>IF(Tabla15[[#This Row],[Puntos scratch]]="","NO PUNTÚA",SUM(Tabla15[[#This Row],[Puntos scratch]],Tabla15[[#This Row],[Puntos clase]])*2)</f>
        <v>NO PUNTÚA</v>
      </c>
      <c r="Q36" s="183" t="str">
        <f>IF(AND(G36="M",Tabla15[[#This Row],[POS]]&lt;&gt;"AB",Tabla15[[#This Row],[POS]]&lt;&gt;"DSQ"),COUNTIF($G$6:G36,"M"),"")</f>
        <v/>
      </c>
      <c r="R36" s="183" t="str">
        <f>IF(G36="M",IF(Tabla15[[#This Row],[Tiempo]]="AB","",LOOKUP(Tabla15[[#This Row],[CLAS SCRATCH2]],'Datos puntos'!$A$2:$A$23,'Datos puntos'!$B$2:$B$23)),"")</f>
        <v/>
      </c>
      <c r="S36" s="183" t="str">
        <f>IF(AND(G36="M",Tabla15[[#This Row],[POS]]&lt;&gt;"AB",Tabla15[[#This Row],[POS]]&lt;&gt;"DSQ"),COUNTIFS($J$6:J36,Tabla15[[#This Row],[Clase]],$G$6:G36,"M"),"")</f>
        <v/>
      </c>
      <c r="T36" s="183" t="str">
        <f>IF(G36="M",IF(Tabla15[[#This Row],[Tiempo]]="AB","",LOOKUP(Tabla15[[#This Row],[CLAS CLASE2]],'Datos puntos'!$A$25:$A$53,'Datos puntos'!$B$25:$B$53)),"")</f>
        <v/>
      </c>
      <c r="U36" s="183" t="str">
        <f>IF(Tabla15[[#This Row],[Puntos scratch3]]="","NO PUNTÚA",SUM(Tabla15[[#This Row],[Puntos scratch3]],Tabla15[[#This Row],[Puntos clase5]])*2)</f>
        <v>NO PUNTÚA</v>
      </c>
    </row>
    <row r="37" spans="1:24" x14ac:dyDescent="0.35">
      <c r="A37" s="176"/>
      <c r="B37" s="176"/>
      <c r="C37" s="179"/>
      <c r="D37" s="179"/>
      <c r="E37" s="179"/>
      <c r="F37" s="179"/>
      <c r="G37" s="179"/>
      <c r="H37" s="179"/>
      <c r="I37" s="180"/>
      <c r="J37" s="180"/>
      <c r="K37" s="181"/>
      <c r="L37" s="182"/>
      <c r="M37" s="182"/>
      <c r="N37" s="182"/>
      <c r="O37" s="183"/>
      <c r="P37" s="183"/>
      <c r="Q37" s="183"/>
      <c r="R37" s="183"/>
      <c r="S37" s="183"/>
      <c r="T37" s="183"/>
      <c r="U37" s="183"/>
      <c r="V37" s="183"/>
      <c r="W37" s="183"/>
      <c r="X37" s="183"/>
    </row>
    <row r="38" spans="1:24" x14ac:dyDescent="0.35">
      <c r="A38" s="176"/>
      <c r="B38" s="176"/>
      <c r="C38" s="179"/>
      <c r="D38" s="179"/>
      <c r="E38" s="179"/>
      <c r="F38" s="179"/>
      <c r="G38" s="179"/>
      <c r="H38" s="179"/>
      <c r="I38" s="180"/>
      <c r="J38" s="180"/>
      <c r="K38" s="181"/>
      <c r="L38" s="182"/>
      <c r="M38" s="182"/>
      <c r="N38" s="182"/>
      <c r="O38" s="183"/>
      <c r="P38" s="183"/>
      <c r="Q38" s="183"/>
      <c r="R38" s="183"/>
      <c r="S38" s="183"/>
      <c r="T38" s="183"/>
      <c r="U38" s="183"/>
      <c r="V38" s="183"/>
      <c r="W38" s="183"/>
      <c r="X38" s="183"/>
    </row>
    <row r="39" spans="1:24" ht="15.5" x14ac:dyDescent="0.35">
      <c r="A39" s="174" t="s">
        <v>186</v>
      </c>
      <c r="B39" s="174"/>
      <c r="C39" s="174"/>
      <c r="D39" s="174"/>
      <c r="E39" s="174"/>
      <c r="F39" s="174"/>
      <c r="G39" s="174"/>
      <c r="H39" s="174"/>
      <c r="I39" s="174"/>
      <c r="J39" s="174"/>
      <c r="K39" s="174"/>
      <c r="L39" s="175"/>
      <c r="M39" s="175"/>
      <c r="N39" s="174" t="s">
        <v>1</v>
      </c>
      <c r="P39" s="199"/>
      <c r="Q39" s="199"/>
      <c r="R39" s="199"/>
      <c r="S39" s="202" t="s">
        <v>166</v>
      </c>
      <c r="U39" s="199"/>
      <c r="W39" s="199"/>
      <c r="X39" s="199"/>
    </row>
    <row r="40" spans="1:24" s="216" customFormat="1" x14ac:dyDescent="0.35">
      <c r="A40" s="213" t="s">
        <v>190</v>
      </c>
      <c r="B40" s="186" t="s">
        <v>191</v>
      </c>
      <c r="C40" s="186" t="s">
        <v>192</v>
      </c>
      <c r="D40" s="186" t="s">
        <v>193</v>
      </c>
      <c r="E40" s="186" t="s">
        <v>194</v>
      </c>
      <c r="F40" s="186" t="s">
        <v>195</v>
      </c>
      <c r="G40" s="186" t="s">
        <v>196</v>
      </c>
      <c r="H40" s="186" t="s">
        <v>197</v>
      </c>
      <c r="I40" s="186" t="s">
        <v>198</v>
      </c>
      <c r="J40" s="186" t="s">
        <v>2</v>
      </c>
      <c r="K40" s="213" t="s">
        <v>199</v>
      </c>
      <c r="L40" s="207" t="s">
        <v>214</v>
      </c>
      <c r="M40" s="208" t="s">
        <v>217</v>
      </c>
      <c r="N40" s="208" t="s">
        <v>254</v>
      </c>
      <c r="O40" s="208" t="s">
        <v>218</v>
      </c>
      <c r="P40" s="208" t="s">
        <v>219</v>
      </c>
      <c r="Q40" s="209" t="s">
        <v>228</v>
      </c>
      <c r="R40" s="209" t="s">
        <v>229</v>
      </c>
      <c r="S40" s="209" t="s">
        <v>255</v>
      </c>
      <c r="T40" s="209" t="s">
        <v>230</v>
      </c>
      <c r="U40" s="209" t="s">
        <v>231</v>
      </c>
    </row>
    <row r="41" spans="1:24" x14ac:dyDescent="0.35">
      <c r="A41" s="193">
        <v>1</v>
      </c>
      <c r="B41" s="193">
        <v>6</v>
      </c>
      <c r="C41" s="469" t="s">
        <v>169</v>
      </c>
      <c r="D41" s="194" t="s">
        <v>570</v>
      </c>
      <c r="E41" s="194" t="s">
        <v>168</v>
      </c>
      <c r="F41" s="194" t="s">
        <v>572</v>
      </c>
      <c r="G41" s="194" t="s">
        <v>168</v>
      </c>
      <c r="H41" s="194" t="s">
        <v>326</v>
      </c>
      <c r="I41" s="195" t="s">
        <v>186</v>
      </c>
      <c r="J41" s="195">
        <v>6</v>
      </c>
      <c r="K41" s="187"/>
      <c r="L41" s="183">
        <f>IF(AND(E41="M",Tabla32[[#This Row],[POS]]&lt;&gt;"AB",Tabla32[[#This Row],[POS]]&lt;&gt;"DSQ"),COUNTIF($E$41:E41,"M"),"")</f>
        <v>1</v>
      </c>
      <c r="M41" s="183">
        <f>IF(E41="M",IF(Tabla32[[#This Row],[Tiempo]]="AB","",LOOKUP(Tabla32[[#This Row],[CLAS SCRATCH]],'Datos puntos'!$A$2:$A$23,'Datos puntos'!$B$2:$B$23)),"")</f>
        <v>25</v>
      </c>
      <c r="N41" s="183">
        <f>Tabla32[[#This Row],[CLAS SCRATCH]]</f>
        <v>1</v>
      </c>
      <c r="O41" s="183">
        <f>IF(E41="M",IF(Tabla32[[#This Row],[Tiempo]]="AB","",LOOKUP(Tabla32[[#This Row],[CLAS CLASE]],'Datos puntos'!$A$25:$A$53,'Datos puntos'!$B$25:$B$53)),"")</f>
        <v>10</v>
      </c>
      <c r="P41" s="183">
        <f>IF(Tabla32[[#This Row],[Puntos scratch]]="","NO PUNTÚA",SUM(Tabla32[[#This Row],[Puntos scratch]],Tabla32[[#This Row],[Puntos clase]])*2)</f>
        <v>70</v>
      </c>
      <c r="Q41" s="183">
        <f>IF(AND(G41="M",Tabla32[[#This Row],[POS]]&lt;&gt;"AB",Tabla32[[#This Row],[POS]]&lt;&gt;"DSQ"),COUNTIF($G$41:G41,"M"),"")</f>
        <v>1</v>
      </c>
      <c r="R41" s="183">
        <f>IF(G41="M",IF(Tabla32[[#This Row],[Tiempo]]="AB","",LOOKUP(Tabla32[[#This Row],[CLAS SCRATCH2]],'Datos puntos'!$A$2:$A$23,'Datos puntos'!$B$2:$B$23)),"")</f>
        <v>25</v>
      </c>
      <c r="S41" s="183">
        <f>Tabla32[[#This Row],[CLAS SCRATCH2]]</f>
        <v>1</v>
      </c>
      <c r="T41" s="183">
        <f>IF(G41="M",IF(Tabla32[[#This Row],[Tiempo]]="AB","",LOOKUP(Tabla32[[#This Row],[CLAS CLASE2]],'Datos puntos'!$A$25:$A$53,'Datos puntos'!$B$25:$B$53)),"")</f>
        <v>10</v>
      </c>
      <c r="U41" s="183">
        <f>IF(Tabla32[[#This Row],[Puntos scratch3]]="","NO PUNTÚA",SUM(Tabla32[[#This Row],[Puntos scratch3]],Tabla32[[#This Row],[Puntos clase5]])*2)</f>
        <v>70</v>
      </c>
    </row>
    <row r="42" spans="1:24" x14ac:dyDescent="0.35">
      <c r="A42" s="193">
        <v>2</v>
      </c>
      <c r="B42" s="193">
        <v>8</v>
      </c>
      <c r="C42" s="469" t="s">
        <v>169</v>
      </c>
      <c r="D42" s="194" t="s">
        <v>571</v>
      </c>
      <c r="E42" s="194" t="s">
        <v>168</v>
      </c>
      <c r="F42" s="194" t="s">
        <v>573</v>
      </c>
      <c r="G42" s="194" t="s">
        <v>168</v>
      </c>
      <c r="H42" s="194" t="s">
        <v>326</v>
      </c>
      <c r="I42" s="195" t="s">
        <v>186</v>
      </c>
      <c r="J42" s="195">
        <v>6</v>
      </c>
      <c r="K42" s="187"/>
      <c r="L42" s="183">
        <f>IF(AND(E42="M",Tabla32[[#This Row],[POS]]&lt;&gt;"AB",Tabla32[[#This Row],[POS]]&lt;&gt;"DSQ"),COUNTIF($E$41:E42,"M"),"")</f>
        <v>2</v>
      </c>
      <c r="M42" s="183">
        <f>IF(E42="M",IF(Tabla32[[#This Row],[Tiempo]]="AB","",LOOKUP(Tabla32[[#This Row],[CLAS SCRATCH]],'Datos puntos'!$A$2:$A$23,'Datos puntos'!$B$2:$B$23)),"")</f>
        <v>20</v>
      </c>
      <c r="N42" s="183">
        <f>Tabla32[[#This Row],[CLAS SCRATCH]]</f>
        <v>2</v>
      </c>
      <c r="O42" s="183">
        <f>IF(E42="M",IF(Tabla32[[#This Row],[Tiempo]]="AB","",LOOKUP(Tabla32[[#This Row],[CLAS CLASE]],'Datos puntos'!$A$25:$A$53,'Datos puntos'!$B$25:$B$53)),"")</f>
        <v>8</v>
      </c>
      <c r="P42" s="183">
        <f>IF(Tabla32[[#This Row],[Puntos scratch]]="","NO PUNTÚA",SUM(Tabla32[[#This Row],[Puntos scratch]],Tabla32[[#This Row],[Puntos clase]])*2)</f>
        <v>56</v>
      </c>
      <c r="Q42" s="183">
        <f>IF(AND(G42="M",Tabla32[[#This Row],[POS]]&lt;&gt;"AB",Tabla32[[#This Row],[POS]]&lt;&gt;"DSQ"),COUNTIF($G$41:G42,"M"),"")</f>
        <v>2</v>
      </c>
      <c r="R42" s="183">
        <f>IF(G42="M",IF(Tabla32[[#This Row],[Tiempo]]="AB","",LOOKUP(Tabla32[[#This Row],[CLAS SCRATCH2]],'Datos puntos'!$A$2:$A$23,'Datos puntos'!$B$2:$B$23)),"")</f>
        <v>20</v>
      </c>
      <c r="S42" s="183">
        <f>Tabla32[[#This Row],[CLAS SCRATCH2]]</f>
        <v>2</v>
      </c>
      <c r="T42" s="183">
        <f>IF(G42="M",IF(Tabla32[[#This Row],[Tiempo]]="AB","",LOOKUP(Tabla32[[#This Row],[CLAS CLASE2]],'Datos puntos'!$A$25:$A$53,'Datos puntos'!$B$25:$B$53)),"")</f>
        <v>8</v>
      </c>
      <c r="U42" s="183">
        <f>IF(Tabla32[[#This Row],[Puntos scratch3]]="","NO PUNTÚA",SUM(Tabla32[[#This Row],[Puntos scratch3]],Tabla32[[#This Row],[Puntos clase5]])*2)</f>
        <v>56</v>
      </c>
    </row>
    <row r="43" spans="1:24" x14ac:dyDescent="0.35">
      <c r="A43" s="193"/>
      <c r="B43" s="193"/>
      <c r="C43" s="194"/>
      <c r="D43" s="194"/>
      <c r="E43" s="194"/>
      <c r="F43" s="194"/>
      <c r="G43" s="194"/>
      <c r="H43" s="194"/>
      <c r="I43" s="195"/>
      <c r="J43" s="195"/>
      <c r="K43" s="187"/>
      <c r="L43" s="183" t="str">
        <f>IF(AND(E43="M",Tabla32[[#This Row],[POS]]&lt;&gt;"AB",Tabla32[[#This Row],[POS]]&lt;&gt;"DSQ"),COUNTIF($E$41:E43,"M"),"")</f>
        <v/>
      </c>
      <c r="M43" s="183" t="str">
        <f>IF(E43="M",IF(Tabla32[[#This Row],[Tiempo]]="AB","",LOOKUP(Tabla32[[#This Row],[CLAS SCRATCH]],'Datos puntos'!$A$2:$A$23,'Datos puntos'!$B$2:$B$23)),"")</f>
        <v/>
      </c>
      <c r="N43" s="183" t="str">
        <f>Tabla32[[#This Row],[CLAS SCRATCH]]</f>
        <v/>
      </c>
      <c r="O43" s="183" t="str">
        <f>IF(E43="M",IF(Tabla32[[#This Row],[Tiempo]]="AB","",LOOKUP(Tabla32[[#This Row],[CLAS CLASE]],'Datos puntos'!$A$25:$A$53,'Datos puntos'!$B$25:$B$53)),"")</f>
        <v/>
      </c>
      <c r="P43" s="183" t="str">
        <f>IF(Tabla32[[#This Row],[Puntos scratch]]="","NO PUNTÚA",SUM(Tabla32[[#This Row],[Puntos scratch]],Tabla32[[#This Row],[Puntos clase]])*2)</f>
        <v>NO PUNTÚA</v>
      </c>
      <c r="Q43" s="183" t="str">
        <f>IF(AND(G43="M",Tabla32[[#This Row],[POS]]&lt;&gt;"AB",Tabla32[[#This Row],[POS]]&lt;&gt;"DSQ"),COUNTIF($G$41:G43,"M"),"")</f>
        <v/>
      </c>
      <c r="R43" s="183" t="str">
        <f>IF(G43="M",IF(Tabla32[[#This Row],[Tiempo]]="AB","",LOOKUP(Tabla32[[#This Row],[CLAS SCRATCH2]],'Datos puntos'!$A$2:$A$23,'Datos puntos'!$B$2:$B$23)),"")</f>
        <v/>
      </c>
      <c r="S43" s="183" t="str">
        <f>Tabla32[[#This Row],[CLAS SCRATCH2]]</f>
        <v/>
      </c>
      <c r="T43" s="183" t="str">
        <f>IF(G43="M",IF(Tabla32[[#This Row],[Tiempo]]="AB","",LOOKUP(Tabla32[[#This Row],[CLAS CLASE2]],'Datos puntos'!$A$25:$A$53,'Datos puntos'!$B$25:$B$53)),"")</f>
        <v/>
      </c>
      <c r="U43" s="183" t="str">
        <f>IF(Tabla32[[#This Row],[Puntos scratch3]]="","NO PUNTÚA",SUM(Tabla32[[#This Row],[Puntos scratch3]],Tabla32[[#This Row],[Puntos clase5]])*2)</f>
        <v>NO PUNTÚA</v>
      </c>
    </row>
    <row r="44" spans="1:24" x14ac:dyDescent="0.35">
      <c r="A44" s="193"/>
      <c r="B44" s="193"/>
      <c r="C44" s="194"/>
      <c r="D44" s="194"/>
      <c r="E44" s="194"/>
      <c r="F44" s="194"/>
      <c r="G44" s="194"/>
      <c r="H44" s="194"/>
      <c r="I44" s="195"/>
      <c r="J44" s="195"/>
      <c r="K44" s="181"/>
      <c r="L44" s="183" t="str">
        <f>IF(AND(E44="M",Tabla32[[#This Row],[POS]]&lt;&gt;"AB",Tabla32[[#This Row],[POS]]&lt;&gt;"DSQ"),COUNTIF($E$41:E44,"M"),"")</f>
        <v/>
      </c>
      <c r="M44" s="183" t="str">
        <f>IF(E44="M",IF(Tabla32[[#This Row],[Tiempo]]="AB","",LOOKUP(Tabla32[[#This Row],[CLAS SCRATCH]],'Datos puntos'!$A$2:$A$23,'Datos puntos'!$B$2:$B$23)),"")</f>
        <v/>
      </c>
      <c r="N44" s="183" t="str">
        <f>Tabla32[[#This Row],[CLAS SCRATCH]]</f>
        <v/>
      </c>
      <c r="O44" s="183" t="str">
        <f>IF(E44="M",IF(Tabla32[[#This Row],[Tiempo]]="AB","",LOOKUP(Tabla32[[#This Row],[CLAS CLASE]],'Datos puntos'!$A$25:$A$53,'Datos puntos'!$B$25:$B$53)),"")</f>
        <v/>
      </c>
      <c r="P44" s="183" t="str">
        <f>IF(Tabla32[[#This Row],[Puntos scratch]]="","NO PUNTÚA",SUM(Tabla32[[#This Row],[Puntos scratch]],Tabla32[[#This Row],[Puntos clase]])*2)</f>
        <v>NO PUNTÚA</v>
      </c>
      <c r="Q44" s="183" t="str">
        <f>IF(AND(G44="M",Tabla32[[#This Row],[POS]]&lt;&gt;"AB",Tabla32[[#This Row],[POS]]&lt;&gt;"DSQ"),COUNTIF($G$41:G44,"M"),"")</f>
        <v/>
      </c>
      <c r="R44" s="183" t="str">
        <f>IF(G44="M",IF(Tabla32[[#This Row],[Tiempo]]="AB","",LOOKUP(Tabla32[[#This Row],[CLAS SCRATCH2]],'Datos puntos'!$A$2:$A$23,'Datos puntos'!$B$2:$B$23)),"")</f>
        <v/>
      </c>
      <c r="S44" s="183" t="str">
        <f>Tabla32[[#This Row],[CLAS SCRATCH2]]</f>
        <v/>
      </c>
      <c r="T44" s="183" t="str">
        <f>IF(G44="M",IF(Tabla32[[#This Row],[Tiempo]]="AB","",LOOKUP(Tabla32[[#This Row],[CLAS CLASE2]],'Datos puntos'!$A$25:$A$53,'Datos puntos'!$B$25:$B$53)),"")</f>
        <v/>
      </c>
      <c r="U44" s="183" t="str">
        <f>IF(Tabla32[[#This Row],[Puntos scratch3]]="","NO PUNTÚA",SUM(Tabla32[[#This Row],[Puntos scratch3]],Tabla32[[#This Row],[Puntos clase5]])*2)</f>
        <v>NO PUNTÚA</v>
      </c>
    </row>
    <row r="45" spans="1:24" x14ac:dyDescent="0.35">
      <c r="A45" s="193"/>
      <c r="B45" s="193"/>
      <c r="C45" s="194"/>
      <c r="D45" s="194"/>
      <c r="E45" s="194"/>
      <c r="F45" s="194"/>
      <c r="G45" s="194"/>
      <c r="H45" s="194"/>
      <c r="I45" s="195"/>
      <c r="J45" s="195"/>
      <c r="K45" s="181"/>
      <c r="L45" s="183" t="str">
        <f>IF(AND(E45="M",Tabla32[[#This Row],[POS]]&lt;&gt;"AB",Tabla32[[#This Row],[POS]]&lt;&gt;"DSQ"),COUNTIF($E$41:E45,"M"),"")</f>
        <v/>
      </c>
      <c r="M45" s="183" t="str">
        <f>IF(E45="M",IF(Tabla32[[#This Row],[Tiempo]]="AB","",LOOKUP(Tabla32[[#This Row],[CLAS SCRATCH]],'Datos puntos'!$A$2:$A$23,'Datos puntos'!$B$2:$B$23)),"")</f>
        <v/>
      </c>
      <c r="N45" s="183" t="str">
        <f>Tabla32[[#This Row],[CLAS SCRATCH]]</f>
        <v/>
      </c>
      <c r="O45" s="183" t="str">
        <f>IF(E45="M",IF(Tabla32[[#This Row],[Tiempo]]="AB","",LOOKUP(Tabla32[[#This Row],[CLAS CLASE]],'Datos puntos'!$A$25:$A$53,'Datos puntos'!$B$25:$B$53)),"")</f>
        <v/>
      </c>
      <c r="P45" s="183" t="str">
        <f>IF(Tabla32[[#This Row],[Puntos scratch]]="","NO PUNTÚA",SUM(Tabla32[[#This Row],[Puntos scratch]],Tabla32[[#This Row],[Puntos clase]])*2)</f>
        <v>NO PUNTÚA</v>
      </c>
      <c r="Q45" s="183" t="str">
        <f>IF(AND(G45="M",Tabla32[[#This Row],[POS]]&lt;&gt;"AB",Tabla32[[#This Row],[POS]]&lt;&gt;"DSQ"),COUNTIF($G$41:G45,"M"),"")</f>
        <v/>
      </c>
      <c r="R45" s="183" t="str">
        <f>IF(G45="M",IF(Tabla32[[#This Row],[Tiempo]]="AB","",LOOKUP(Tabla32[[#This Row],[CLAS SCRATCH2]],'Datos puntos'!$A$2:$A$23,'Datos puntos'!$B$2:$B$23)),"")</f>
        <v/>
      </c>
      <c r="S45" s="183" t="str">
        <f>Tabla32[[#This Row],[CLAS SCRATCH2]]</f>
        <v/>
      </c>
      <c r="T45" s="183" t="str">
        <f>IF(G45="M",IF(Tabla32[[#This Row],[Tiempo]]="AB","",LOOKUP(Tabla32[[#This Row],[CLAS CLASE2]],'Datos puntos'!$A$25:$A$53,'Datos puntos'!$B$25:$B$53)),"")</f>
        <v/>
      </c>
      <c r="U45" s="183" t="str">
        <f>IF(Tabla32[[#This Row],[Puntos scratch3]]="","NO PUNTÚA",SUM(Tabla32[[#This Row],[Puntos scratch3]],Tabla32[[#This Row],[Puntos clase5]])*2)</f>
        <v>NO PUNTÚA</v>
      </c>
    </row>
    <row r="46" spans="1:24" x14ac:dyDescent="0.35">
      <c r="A46" s="193"/>
      <c r="B46" s="193"/>
      <c r="C46" s="194"/>
      <c r="D46" s="194"/>
      <c r="E46" s="194"/>
      <c r="F46" s="194"/>
      <c r="G46" s="194"/>
      <c r="H46" s="194"/>
      <c r="I46" s="195"/>
      <c r="J46" s="195"/>
      <c r="K46" s="187"/>
      <c r="L46" s="189"/>
      <c r="M46" s="189"/>
      <c r="N46" s="182"/>
    </row>
    <row r="47" spans="1:24" x14ac:dyDescent="0.35">
      <c r="A47" s="193"/>
      <c r="B47" s="193"/>
      <c r="C47" s="194"/>
      <c r="D47" s="194"/>
      <c r="E47" s="194"/>
      <c r="F47" s="194"/>
      <c r="G47" s="194"/>
      <c r="H47" s="194"/>
      <c r="I47" s="195"/>
      <c r="J47" s="195"/>
      <c r="K47" s="187"/>
      <c r="L47" s="189"/>
      <c r="M47" s="189"/>
      <c r="N47" s="182"/>
    </row>
    <row r="48" spans="1:24" ht="15.5" x14ac:dyDescent="0.35">
      <c r="A48" s="203" t="s">
        <v>261</v>
      </c>
      <c r="B48" s="203"/>
      <c r="C48" s="204"/>
      <c r="D48" s="204"/>
      <c r="E48" s="204"/>
      <c r="F48" s="204"/>
      <c r="G48" s="204"/>
      <c r="H48" s="204"/>
      <c r="I48" s="204"/>
      <c r="J48" s="204"/>
      <c r="K48" s="205"/>
      <c r="L48" s="189"/>
      <c r="M48" s="189"/>
      <c r="N48" s="174" t="s">
        <v>1</v>
      </c>
      <c r="O48" s="174"/>
      <c r="P48" s="199"/>
      <c r="Q48" s="199"/>
      <c r="R48" s="199"/>
      <c r="S48" s="176" t="s">
        <v>166</v>
      </c>
      <c r="T48" s="202"/>
      <c r="U48" s="199"/>
      <c r="V48" s="199"/>
      <c r="W48" s="199"/>
      <c r="X48" s="199"/>
    </row>
    <row r="49" spans="1:24" x14ac:dyDescent="0.35">
      <c r="A49" s="193" t="s">
        <v>190</v>
      </c>
      <c r="B49" s="193" t="s">
        <v>191</v>
      </c>
      <c r="C49" s="194" t="s">
        <v>192</v>
      </c>
      <c r="D49" s="194" t="s">
        <v>193</v>
      </c>
      <c r="E49" s="194" t="s">
        <v>262</v>
      </c>
      <c r="F49" s="194" t="s">
        <v>195</v>
      </c>
      <c r="G49" s="194" t="s">
        <v>263</v>
      </c>
      <c r="H49" s="194" t="s">
        <v>197</v>
      </c>
      <c r="I49" s="195" t="s">
        <v>198</v>
      </c>
      <c r="J49" s="195" t="s">
        <v>2</v>
      </c>
      <c r="K49" s="187" t="s">
        <v>199</v>
      </c>
      <c r="L49" s="210" t="s">
        <v>214</v>
      </c>
      <c r="M49" s="211" t="s">
        <v>217</v>
      </c>
      <c r="N49" s="211" t="s">
        <v>254</v>
      </c>
      <c r="O49" s="211" t="s">
        <v>218</v>
      </c>
      <c r="P49" s="211" t="s">
        <v>219</v>
      </c>
      <c r="Q49" s="212" t="s">
        <v>228</v>
      </c>
      <c r="R49" s="212" t="s">
        <v>229</v>
      </c>
      <c r="S49" s="212" t="s">
        <v>255</v>
      </c>
      <c r="T49" s="212" t="s">
        <v>230</v>
      </c>
      <c r="U49" s="212" t="s">
        <v>231</v>
      </c>
    </row>
    <row r="50" spans="1:24" x14ac:dyDescent="0.35">
      <c r="A50" s="193">
        <v>1</v>
      </c>
      <c r="B50" s="193">
        <v>37</v>
      </c>
      <c r="C50" s="470" t="s">
        <v>330</v>
      </c>
      <c r="D50" s="194" t="s">
        <v>639</v>
      </c>
      <c r="E50" s="267" t="s">
        <v>168</v>
      </c>
      <c r="F50" s="194" t="s">
        <v>358</v>
      </c>
      <c r="G50" s="194" t="s">
        <v>168</v>
      </c>
      <c r="H50" s="194" t="s">
        <v>329</v>
      </c>
      <c r="I50" s="195" t="s">
        <v>187</v>
      </c>
      <c r="J50" s="195">
        <v>7</v>
      </c>
      <c r="K50" s="187"/>
      <c r="L50" s="182">
        <f>IF(AND(E50="M",Tabla7[[#This Row],[POS]]&lt;&gt;"AB",Tabla7[[#This Row],[POS]]&lt;&gt;"DSQ"),COUNTIF($E$50:E50,"M"),"")</f>
        <v>1</v>
      </c>
      <c r="M50" s="182">
        <f>IF(E50="M",IF(Tabla7[[#This Row],[Tiempo]]="AB","",LOOKUP(Tabla7[[#This Row],[CLAS SCRATCH]],'Datos puntos'!$A$2:$A$23,'Datos puntos'!$B$2:$B$23)),"")</f>
        <v>25</v>
      </c>
      <c r="N50" s="182">
        <f>Tabla7[[#This Row],[CLAS SCRATCH]]</f>
        <v>1</v>
      </c>
      <c r="O50" s="182">
        <f>IF(E50="M",IF(Tabla7[[#This Row],[Tiempo]]="AB","",LOOKUP(Tabla7[[#This Row],[CLAS CLASE]],'Datos puntos'!$A$25:$A$53,'Datos puntos'!$B$25:$B$53)),"")</f>
        <v>10</v>
      </c>
      <c r="P50" s="182">
        <f>IF(Tabla7[[#This Row],[Puntos scratch]]="","NO PUNTÚA",SUM(Tabla7[[#This Row],[Puntos scratch]],Tabla7[[#This Row],[Puntos clase]])*2)</f>
        <v>70</v>
      </c>
      <c r="Q50" s="182">
        <f>IF(AND(G50="M",Tabla7[[#This Row],[POS]]&lt;&gt;"AB",Tabla7[[#This Row],[POS]]&lt;&gt;"DSQ"),COUNTIF($G$50:G50,"M"),"")</f>
        <v>1</v>
      </c>
      <c r="R50" s="182">
        <f>IF(G50="M",IF(Tabla7[[#This Row],[Tiempo]]="AB","",LOOKUP(Tabla7[[#This Row],[CLAS SCRATCH2]],'Datos puntos'!$A$2:$A$23,'Datos puntos'!$B$2:$B$23)),"")</f>
        <v>25</v>
      </c>
      <c r="S50" s="182">
        <f>Tabla7[[#This Row],[CLAS SCRATCH2]]</f>
        <v>1</v>
      </c>
      <c r="T50" s="182">
        <f>IF(G50="M",IF(Tabla7[[#This Row],[Tiempo]]="AB","",LOOKUP(Tabla7[[#This Row],[CLAS CLASE2]],'Datos puntos'!$A$25:$A$53,'Datos puntos'!$B$25:$B$53)),"")</f>
        <v>10</v>
      </c>
      <c r="U50" s="182">
        <f>IF(Tabla7[[#This Row],[Puntos scratch3]]="","NO PUNTÚA",SUM(Tabla7[[#This Row],[Puntos scratch3]],Tabla7[[#This Row],[Puntos clase5]])*2)</f>
        <v>70</v>
      </c>
    </row>
    <row r="51" spans="1:24" x14ac:dyDescent="0.35">
      <c r="A51" s="193">
        <v>2</v>
      </c>
      <c r="B51" s="193">
        <v>36</v>
      </c>
      <c r="C51" s="194" t="s">
        <v>640</v>
      </c>
      <c r="D51" s="206" t="s">
        <v>655</v>
      </c>
      <c r="E51" s="234" t="s">
        <v>168</v>
      </c>
      <c r="F51" s="194" t="s">
        <v>360</v>
      </c>
      <c r="G51" s="194" t="s">
        <v>168</v>
      </c>
      <c r="H51" s="194" t="s">
        <v>266</v>
      </c>
      <c r="I51" s="195" t="s">
        <v>187</v>
      </c>
      <c r="J51" s="195">
        <v>7</v>
      </c>
      <c r="K51" s="187"/>
      <c r="L51" s="182">
        <f>IF(AND(E51="M",Tabla7[[#This Row],[POS]]&lt;&gt;"AB",Tabla7[[#This Row],[POS]]&lt;&gt;"DSQ"),COUNTIF($E$50:E51,"M"),"")</f>
        <v>2</v>
      </c>
      <c r="M51" s="182">
        <f>IF(E51="M",IF(Tabla7[[#This Row],[Tiempo]]="AB","",LOOKUP(Tabla7[[#This Row],[CLAS SCRATCH]],'Datos puntos'!$A$2:$A$23,'Datos puntos'!$B$2:$B$23)),"")</f>
        <v>20</v>
      </c>
      <c r="N51" s="182">
        <f>Tabla7[[#This Row],[CLAS SCRATCH]]</f>
        <v>2</v>
      </c>
      <c r="O51" s="182">
        <f>IF(E51="M",IF(Tabla7[[#This Row],[Tiempo]]="AB","",LOOKUP(Tabla7[[#This Row],[CLAS CLASE]],'Datos puntos'!$A$25:$A$53,'Datos puntos'!$B$25:$B$53)),"")</f>
        <v>8</v>
      </c>
      <c r="P51" s="182">
        <f>IF(Tabla7[[#This Row],[Puntos scratch]]="","NO PUNTÚA",SUM(Tabla7[[#This Row],[Puntos scratch]],Tabla7[[#This Row],[Puntos clase]])*2)</f>
        <v>56</v>
      </c>
      <c r="Q51" s="182">
        <f>IF(AND(G51="M",Tabla7[[#This Row],[POS]]&lt;&gt;"AB",Tabla7[[#This Row],[POS]]&lt;&gt;"DSQ"),COUNTIF($G$50:G51,"M"),"")</f>
        <v>2</v>
      </c>
      <c r="R51" s="182">
        <f>IF(G51="M",IF(Tabla7[[#This Row],[Tiempo]]="AB","",LOOKUP(Tabla7[[#This Row],[CLAS SCRATCH2]],'Datos puntos'!$A$2:$A$23,'Datos puntos'!$B$2:$B$23)),"")</f>
        <v>20</v>
      </c>
      <c r="S51" s="182">
        <f>Tabla7[[#This Row],[CLAS SCRATCH2]]</f>
        <v>2</v>
      </c>
      <c r="T51" s="182">
        <f>IF(G51="M",IF(Tabla7[[#This Row],[Tiempo]]="AB","",LOOKUP(Tabla7[[#This Row],[CLAS CLASE2]],'Datos puntos'!$A$25:$A$53,'Datos puntos'!$B$25:$B$53)),"")</f>
        <v>8</v>
      </c>
      <c r="U51" s="182">
        <f>IF(Tabla7[[#This Row],[Puntos scratch3]]="","NO PUNTÚA",SUM(Tabla7[[#This Row],[Puntos scratch3]],Tabla7[[#This Row],[Puntos clase5]])*2)</f>
        <v>56</v>
      </c>
    </row>
    <row r="52" spans="1:24" x14ac:dyDescent="0.35">
      <c r="A52" s="193">
        <v>3</v>
      </c>
      <c r="B52" s="193">
        <v>40</v>
      </c>
      <c r="C52" s="471" t="s">
        <v>175</v>
      </c>
      <c r="D52" s="206" t="s">
        <v>264</v>
      </c>
      <c r="E52" s="194" t="s">
        <v>168</v>
      </c>
      <c r="F52" s="194" t="s">
        <v>641</v>
      </c>
      <c r="G52" s="194" t="s">
        <v>168</v>
      </c>
      <c r="H52" s="194" t="s">
        <v>266</v>
      </c>
      <c r="I52" s="195" t="s">
        <v>187</v>
      </c>
      <c r="J52" s="195">
        <v>7</v>
      </c>
      <c r="K52" s="187"/>
      <c r="L52" s="182">
        <f>IF(AND(E52="M",Tabla7[[#This Row],[POS]]&lt;&gt;"AB",Tabla7[[#This Row],[POS]]&lt;&gt;"DSQ"),COUNTIF($E$50:E52,"M"),"")</f>
        <v>3</v>
      </c>
      <c r="M52" s="182">
        <f>IF(E52="M",IF(Tabla7[[#This Row],[Tiempo]]="AB","",LOOKUP(Tabla7[[#This Row],[CLAS SCRATCH]],'Datos puntos'!$A$2:$A$23,'Datos puntos'!$B$2:$B$23)),"")</f>
        <v>17</v>
      </c>
      <c r="N52" s="182">
        <f>Tabla7[[#This Row],[CLAS SCRATCH]]</f>
        <v>3</v>
      </c>
      <c r="O52" s="182">
        <f>IF(E52="M",IF(Tabla7[[#This Row],[Tiempo]]="AB","",LOOKUP(Tabla7[[#This Row],[CLAS CLASE]],'Datos puntos'!$A$25:$A$53,'Datos puntos'!$B$25:$B$53)),"")</f>
        <v>6</v>
      </c>
      <c r="P52" s="182">
        <f>IF(Tabla7[[#This Row],[Puntos scratch]]="","NO PUNTÚA",SUM(Tabla7[[#This Row],[Puntos scratch]],Tabla7[[#This Row],[Puntos clase]])*2)</f>
        <v>46</v>
      </c>
      <c r="Q52" s="182">
        <f>IF(AND(G52="M",Tabla7[[#This Row],[POS]]&lt;&gt;"AB",Tabla7[[#This Row],[POS]]&lt;&gt;"DSQ"),COUNTIF($G$50:G52,"M"),"")</f>
        <v>3</v>
      </c>
      <c r="R52" s="182">
        <f>IF(G52="M",IF(Tabla7[[#This Row],[Tiempo]]="AB","",LOOKUP(Tabla7[[#This Row],[CLAS SCRATCH2]],'Datos puntos'!$A$2:$A$23,'Datos puntos'!$B$2:$B$23)),"")</f>
        <v>17</v>
      </c>
      <c r="S52" s="182">
        <f>Tabla7[[#This Row],[CLAS SCRATCH2]]</f>
        <v>3</v>
      </c>
      <c r="T52" s="182">
        <f>IF(G52="M",IF(Tabla7[[#This Row],[Tiempo]]="AB","",LOOKUP(Tabla7[[#This Row],[CLAS CLASE2]],'Datos puntos'!$A$25:$A$53,'Datos puntos'!$B$25:$B$53)),"")</f>
        <v>6</v>
      </c>
      <c r="U52" s="182">
        <f>IF(Tabla7[[#This Row],[Puntos scratch3]]="","NO PUNTÚA",SUM(Tabla7[[#This Row],[Puntos scratch3]],Tabla7[[#This Row],[Puntos clase5]])*2)</f>
        <v>46</v>
      </c>
    </row>
    <row r="53" spans="1:24" x14ac:dyDescent="0.35">
      <c r="A53" s="193">
        <v>4</v>
      </c>
      <c r="B53" s="193">
        <v>38</v>
      </c>
      <c r="C53" s="472" t="s">
        <v>588</v>
      </c>
      <c r="D53" s="206" t="s">
        <v>642</v>
      </c>
      <c r="E53" s="194" t="s">
        <v>168</v>
      </c>
      <c r="F53" s="194" t="s">
        <v>426</v>
      </c>
      <c r="G53" s="194" t="s">
        <v>168</v>
      </c>
      <c r="H53" s="194" t="s">
        <v>392</v>
      </c>
      <c r="I53" s="195" t="s">
        <v>187</v>
      </c>
      <c r="J53" s="195">
        <v>7</v>
      </c>
      <c r="K53" s="187"/>
      <c r="L53" s="182">
        <f>IF(AND(E53="M",Tabla7[[#This Row],[POS]]&lt;&gt;"AB",Tabla7[[#This Row],[POS]]&lt;&gt;"DSQ"),COUNTIF($E$50:E53,"M"),"")</f>
        <v>4</v>
      </c>
      <c r="M53" s="182">
        <f>IF(E53="M",IF(Tabla7[[#This Row],[Tiempo]]="AB","",LOOKUP(Tabla7[[#This Row],[CLAS SCRATCH]],'Datos puntos'!$A$2:$A$23,'Datos puntos'!$B$2:$B$23)),"")</f>
        <v>15</v>
      </c>
      <c r="N53" s="182">
        <f>Tabla7[[#This Row],[CLAS SCRATCH]]</f>
        <v>4</v>
      </c>
      <c r="O53" s="182">
        <f>IF(E53="M",IF(Tabla7[[#This Row],[Tiempo]]="AB","",LOOKUP(Tabla7[[#This Row],[CLAS CLASE]],'Datos puntos'!$A$25:$A$53,'Datos puntos'!$B$25:$B$53)),"")</f>
        <v>5</v>
      </c>
      <c r="P53" s="182">
        <f>IF(Tabla7[[#This Row],[Puntos scratch]]="","NO PUNTÚA",SUM(Tabla7[[#This Row],[Puntos scratch]],Tabla7[[#This Row],[Puntos clase]])*2)</f>
        <v>40</v>
      </c>
      <c r="Q53" s="182">
        <f>IF(AND(G53="M",Tabla7[[#This Row],[POS]]&lt;&gt;"AB",Tabla7[[#This Row],[POS]]&lt;&gt;"DSQ"),COUNTIF($G$50:G53,"M"),"")</f>
        <v>4</v>
      </c>
      <c r="R53" s="182">
        <f>IF(G53="M",IF(Tabla7[[#This Row],[Tiempo]]="AB","",LOOKUP(Tabla7[[#This Row],[CLAS SCRATCH2]],'Datos puntos'!$A$2:$A$23,'Datos puntos'!$B$2:$B$23)),"")</f>
        <v>15</v>
      </c>
      <c r="S53" s="182">
        <f>Tabla7[[#This Row],[CLAS SCRATCH2]]</f>
        <v>4</v>
      </c>
      <c r="T53" s="182">
        <f>IF(G53="M",IF(Tabla7[[#This Row],[Tiempo]]="AB","",LOOKUP(Tabla7[[#This Row],[CLAS CLASE2]],'Datos puntos'!$A$25:$A$53,'Datos puntos'!$B$25:$B$53)),"")</f>
        <v>5</v>
      </c>
      <c r="U53" s="182">
        <f>IF(Tabla7[[#This Row],[Puntos scratch3]]="","NO PUNTÚA",SUM(Tabla7[[#This Row],[Puntos scratch3]],Tabla7[[#This Row],[Puntos clase5]])*2)</f>
        <v>40</v>
      </c>
    </row>
    <row r="54" spans="1:24" x14ac:dyDescent="0.35">
      <c r="A54" s="193">
        <v>5</v>
      </c>
      <c r="B54" s="193">
        <v>41</v>
      </c>
      <c r="C54" s="469" t="s">
        <v>169</v>
      </c>
      <c r="D54" s="206" t="s">
        <v>643</v>
      </c>
      <c r="E54" s="194" t="s">
        <v>168</v>
      </c>
      <c r="F54" s="194" t="s">
        <v>398</v>
      </c>
      <c r="G54" s="194" t="s">
        <v>168</v>
      </c>
      <c r="H54" s="194" t="s">
        <v>336</v>
      </c>
      <c r="I54" s="195" t="s">
        <v>187</v>
      </c>
      <c r="J54" s="195">
        <v>7</v>
      </c>
      <c r="K54" s="187"/>
      <c r="L54" s="182">
        <f>IF(AND(E54="M",Tabla7[[#This Row],[POS]]&lt;&gt;"AB",Tabla7[[#This Row],[POS]]&lt;&gt;"DSQ"),COUNTIF($E$50:E54,"M"),"")</f>
        <v>5</v>
      </c>
      <c r="M54" s="182">
        <f>IF(E54="M",IF(Tabla7[[#This Row],[Tiempo]]="AB","",LOOKUP(Tabla7[[#This Row],[CLAS SCRATCH]],'Datos puntos'!$A$2:$A$23,'Datos puntos'!$B$2:$B$23)),"")</f>
        <v>12</v>
      </c>
      <c r="N54" s="182">
        <f>Tabla7[[#This Row],[CLAS SCRATCH]]</f>
        <v>5</v>
      </c>
      <c r="O54" s="182">
        <f>IF(E54="M",IF(Tabla7[[#This Row],[Tiempo]]="AB","",LOOKUP(Tabla7[[#This Row],[CLAS CLASE]],'Datos puntos'!$A$25:$A$53,'Datos puntos'!$B$25:$B$53)),"")</f>
        <v>3</v>
      </c>
      <c r="P54" s="182">
        <f>IF(Tabla7[[#This Row],[Puntos scratch]]="","NO PUNTÚA",SUM(Tabla7[[#This Row],[Puntos scratch]],Tabla7[[#This Row],[Puntos clase]])*2)</f>
        <v>30</v>
      </c>
      <c r="Q54" s="182">
        <f>IF(AND(G54="M",Tabla7[[#This Row],[POS]]&lt;&gt;"AB",Tabla7[[#This Row],[POS]]&lt;&gt;"DSQ"),COUNTIF($G$50:G54,"M"),"")</f>
        <v>5</v>
      </c>
      <c r="R54" s="182">
        <f>IF(G54="M",IF(Tabla7[[#This Row],[Tiempo]]="AB","",LOOKUP(Tabla7[[#This Row],[CLAS SCRATCH2]],'Datos puntos'!$A$2:$A$23,'Datos puntos'!$B$2:$B$23)),"")</f>
        <v>12</v>
      </c>
      <c r="S54" s="182">
        <f>Tabla7[[#This Row],[CLAS SCRATCH2]]</f>
        <v>5</v>
      </c>
      <c r="T54" s="182">
        <f>IF(G54="M",IF(Tabla7[[#This Row],[Tiempo]]="AB","",LOOKUP(Tabla7[[#This Row],[CLAS CLASE2]],'Datos puntos'!$A$25:$A$53,'Datos puntos'!$B$25:$B$53)),"")</f>
        <v>3</v>
      </c>
      <c r="U54" s="182">
        <f>IF(Tabla7[[#This Row],[Puntos scratch3]]="","NO PUNTÚA",SUM(Tabla7[[#This Row],[Puntos scratch3]],Tabla7[[#This Row],[Puntos clase5]])*2)</f>
        <v>30</v>
      </c>
      <c r="V54" s="182"/>
      <c r="W54" s="182"/>
      <c r="X54" s="182"/>
    </row>
    <row r="55" spans="1:24" x14ac:dyDescent="0.35">
      <c r="A55" s="193" t="s">
        <v>179</v>
      </c>
      <c r="B55" s="193">
        <v>39</v>
      </c>
      <c r="C55" s="473" t="s">
        <v>172</v>
      </c>
      <c r="D55" s="194" t="s">
        <v>644</v>
      </c>
      <c r="E55" s="194" t="s">
        <v>168</v>
      </c>
      <c r="F55" s="194" t="s">
        <v>645</v>
      </c>
      <c r="G55" s="194" t="s">
        <v>168</v>
      </c>
      <c r="H55" s="194" t="s">
        <v>336</v>
      </c>
      <c r="I55" s="195" t="s">
        <v>187</v>
      </c>
      <c r="J55" s="195">
        <v>7</v>
      </c>
      <c r="K55" s="187" t="s">
        <v>179</v>
      </c>
      <c r="L55" s="270" t="str">
        <f>IF(AND(E55="M",Tabla7[[#This Row],[POS]]&lt;&gt;"AB",Tabla7[[#This Row],[POS]]&lt;&gt;"DSQ"),COUNTIF($E$50:E55,"M"),"")</f>
        <v/>
      </c>
      <c r="M55" s="182" t="str">
        <f>IF(E55="M",IF(Tabla7[[#This Row],[Tiempo]]="AB","",LOOKUP(Tabla7[[#This Row],[CLAS SCRATCH]],'Datos puntos'!$A$2:$A$23,'Datos puntos'!$B$2:$B$23)),"")</f>
        <v/>
      </c>
      <c r="N55" s="182" t="str">
        <f>Tabla7[[#This Row],[CLAS SCRATCH]]</f>
        <v/>
      </c>
      <c r="O55" s="182" t="str">
        <f>IF(E55="M",IF(Tabla7[[#This Row],[Tiempo]]="AB","",LOOKUP(Tabla7[[#This Row],[CLAS CLASE]],'Datos puntos'!$A$25:$A$53,'Datos puntos'!$B$25:$B$53)),"")</f>
        <v/>
      </c>
      <c r="P55" s="182" t="str">
        <f>IF(Tabla7[[#This Row],[Puntos scratch]]="","NO PUNTÚA",SUM(Tabla7[[#This Row],[Puntos scratch]],Tabla7[[#This Row],[Puntos clase]])*2)</f>
        <v>NO PUNTÚA</v>
      </c>
      <c r="Q55" s="270" t="str">
        <f>IF(AND(G55="M",Tabla7[[#This Row],[POS]]&lt;&gt;"AB",Tabla7[[#This Row],[POS]]&lt;&gt;"DSQ"),COUNTIF($G$50:G55,"M"),"")</f>
        <v/>
      </c>
      <c r="R55" s="182" t="str">
        <f>IF(G55="M",IF(Tabla7[[#This Row],[Tiempo]]="AB","",LOOKUP(Tabla7[[#This Row],[CLAS SCRATCH2]],'Datos puntos'!$A$2:$A$23,'Datos puntos'!$B$2:$B$23)),"")</f>
        <v/>
      </c>
      <c r="S55" s="182" t="str">
        <f>Tabla7[[#This Row],[CLAS SCRATCH2]]</f>
        <v/>
      </c>
      <c r="T55" s="182" t="str">
        <f>IF(G55="M",IF(Tabla7[[#This Row],[Tiempo]]="AB","",LOOKUP(Tabla7[[#This Row],[CLAS CLASE2]],'Datos puntos'!$A$25:$A$53,'Datos puntos'!$B$25:$B$53)),"")</f>
        <v/>
      </c>
      <c r="U55" s="182" t="str">
        <f>IF(Tabla7[[#This Row],[Puntos scratch3]]="","NO PUNTÚA",SUM(Tabla7[[#This Row],[Puntos scratch3]],Tabla7[[#This Row],[Puntos clase5]])*2)</f>
        <v>NO PUNTÚA</v>
      </c>
    </row>
    <row r="56" spans="1:24" ht="15.5" x14ac:dyDescent="0.35">
      <c r="A56" s="174" t="s">
        <v>260</v>
      </c>
      <c r="B56" s="174"/>
      <c r="C56" s="174"/>
      <c r="D56" s="174"/>
      <c r="E56" s="174"/>
      <c r="F56" s="174"/>
      <c r="G56" s="174"/>
      <c r="H56" s="174"/>
      <c r="I56" s="174"/>
      <c r="J56" s="174"/>
      <c r="K56" s="174"/>
      <c r="L56" s="175"/>
      <c r="M56" s="175"/>
      <c r="N56" s="174" t="s">
        <v>1</v>
      </c>
      <c r="O56" s="174"/>
      <c r="P56" s="199"/>
      <c r="Q56" s="199"/>
      <c r="R56" s="199"/>
      <c r="S56" s="176" t="s">
        <v>166</v>
      </c>
      <c r="T56" s="202"/>
      <c r="U56" s="199"/>
      <c r="V56" s="199"/>
      <c r="W56" s="199"/>
      <c r="X56" s="199"/>
    </row>
    <row r="57" spans="1:24" x14ac:dyDescent="0.35">
      <c r="A57" s="213" t="s">
        <v>190</v>
      </c>
      <c r="B57" s="186" t="s">
        <v>191</v>
      </c>
      <c r="C57" s="186" t="s">
        <v>192</v>
      </c>
      <c r="D57" s="186" t="s">
        <v>193</v>
      </c>
      <c r="E57" s="186" t="s">
        <v>194</v>
      </c>
      <c r="F57" s="186" t="s">
        <v>195</v>
      </c>
      <c r="G57" s="186" t="s">
        <v>196</v>
      </c>
      <c r="H57" s="186" t="s">
        <v>197</v>
      </c>
      <c r="I57" s="186" t="s">
        <v>198</v>
      </c>
      <c r="J57" s="186" t="s">
        <v>2</v>
      </c>
      <c r="K57" s="213" t="s">
        <v>199</v>
      </c>
      <c r="L57" s="214" t="s">
        <v>214</v>
      </c>
      <c r="M57" s="214" t="s">
        <v>217</v>
      </c>
      <c r="N57" s="214" t="s">
        <v>254</v>
      </c>
      <c r="O57" s="214" t="s">
        <v>218</v>
      </c>
      <c r="P57" s="214" t="s">
        <v>219</v>
      </c>
      <c r="Q57" s="215" t="s">
        <v>228</v>
      </c>
      <c r="R57" s="215" t="s">
        <v>229</v>
      </c>
      <c r="S57" s="215" t="s">
        <v>255</v>
      </c>
      <c r="T57" s="215" t="s">
        <v>230</v>
      </c>
      <c r="U57" s="215" t="s">
        <v>231</v>
      </c>
    </row>
    <row r="58" spans="1:24" x14ac:dyDescent="0.35">
      <c r="A58" s="188">
        <v>1</v>
      </c>
      <c r="B58" s="176">
        <v>43</v>
      </c>
      <c r="C58" s="179" t="s">
        <v>646</v>
      </c>
      <c r="D58" s="179" t="s">
        <v>647</v>
      </c>
      <c r="E58" s="179" t="s">
        <v>168</v>
      </c>
      <c r="F58" s="179" t="s">
        <v>648</v>
      </c>
      <c r="G58" s="179" t="s">
        <v>168</v>
      </c>
      <c r="H58" s="179" t="s">
        <v>269</v>
      </c>
      <c r="I58" s="180" t="s">
        <v>202</v>
      </c>
      <c r="J58" s="180">
        <v>8</v>
      </c>
      <c r="K58" s="187"/>
      <c r="L58" s="183">
        <f>IF(AND(E58="M",Tabla2[[#This Row],[POS]]&lt;&gt;"AB",Tabla2[[#This Row],[POS]]&lt;&gt;"DSQ"),COUNTIF($E$58:E58,"M"),"")</f>
        <v>1</v>
      </c>
      <c r="M58" s="183">
        <f>IF(E58="M",IF(Tabla2[[#This Row],[Tiempo]]="AB","",LOOKUP(Tabla2[[#This Row],[CLAS SCRATCH]],'Datos puntos'!$A$2:$A$23,'Datos puntos'!$B$2:$B$23)),"")</f>
        <v>25</v>
      </c>
      <c r="N58" s="182">
        <f>Tabla2[[#This Row],[CLAS SCRATCH]]</f>
        <v>1</v>
      </c>
      <c r="O58" s="183">
        <f>IF(E58="M",IF(Tabla2[[#This Row],[Tiempo]]="AB","",LOOKUP(Tabla2[[#This Row],[CLAS CLASE]],'Datos puntos'!$A$25:$A$53,'Datos puntos'!$B$25:$B$53)),"")</f>
        <v>10</v>
      </c>
      <c r="P58" s="183">
        <f>IF(Tabla2[[#This Row],[Puntos scratch]]="","NO PUNTÚA",SUM(Tabla2[[#This Row],[Puntos scratch]],Tabla2[[#This Row],[Puntos clase]])*2)</f>
        <v>70</v>
      </c>
      <c r="Q58" s="183">
        <f>IF(AND(G58="M",Tabla2[[#This Row],[POS]]&lt;&gt;"AB",Tabla2[[#This Row],[POS]]&lt;&gt;"DSQ"),COUNTIF($G$58:G58,"M"),"")</f>
        <v>1</v>
      </c>
      <c r="R58" s="183">
        <f>IF(G58="M",IF(Tabla2[[#This Row],[Tiempo]]="AB","",LOOKUP(Tabla2[[#This Row],[CLAS SCRATCH2]],'Datos puntos'!$A$2:$A$23,'Datos puntos'!$B$2:$B$23)),"")</f>
        <v>25</v>
      </c>
      <c r="S58" s="183">
        <f>Tabla2[[#This Row],[CLAS SCRATCH]]</f>
        <v>1</v>
      </c>
      <c r="T58" s="183">
        <f>IF(G58="M",IF(Tabla2[[#This Row],[Tiempo]]="AB","",LOOKUP(Tabla2[[#This Row],[CLAS CLASE2]],'Datos puntos'!$A$25:$A$53,'Datos puntos'!$B$25:$B$53)),"")</f>
        <v>10</v>
      </c>
      <c r="U58" s="183">
        <f>IF(Tabla2[[#This Row],[Puntos scratch]]="","NO PUNTÚA",SUM(Tabla2[[#This Row],[Puntos scratch]],Tabla2[[#This Row],[Puntos clase]])*2)</f>
        <v>70</v>
      </c>
    </row>
    <row r="59" spans="1:24" x14ac:dyDescent="0.35">
      <c r="A59" s="193" t="s">
        <v>179</v>
      </c>
      <c r="B59" s="176">
        <v>42</v>
      </c>
      <c r="C59" s="179" t="s">
        <v>236</v>
      </c>
      <c r="D59" s="179" t="s">
        <v>649</v>
      </c>
      <c r="E59" s="179" t="s">
        <v>168</v>
      </c>
      <c r="F59" s="179" t="s">
        <v>650</v>
      </c>
      <c r="G59" s="179" t="s">
        <v>168</v>
      </c>
      <c r="H59" s="179" t="s">
        <v>188</v>
      </c>
      <c r="I59" s="180" t="s">
        <v>202</v>
      </c>
      <c r="J59" s="180">
        <v>8</v>
      </c>
      <c r="K59" s="187" t="s">
        <v>179</v>
      </c>
      <c r="L59" s="183" t="str">
        <f>IF(AND(E59="M",Tabla2[[#This Row],[POS]]&lt;&gt;"AB",Tabla2[[#This Row],[POS]]&lt;&gt;"DSQ"),COUNTIF($E$58:E59,"M"),"")</f>
        <v/>
      </c>
      <c r="M59" s="183" t="str">
        <f>IF(E59="M",IF(Tabla2[[#This Row],[Tiempo]]="AB","",LOOKUP(Tabla2[[#This Row],[CLAS SCRATCH]],'Datos puntos'!$A$2:$A$23,'Datos puntos'!$B$2:$B$23)),"")</f>
        <v/>
      </c>
      <c r="N59" s="183" t="str">
        <f>Tabla2[[#This Row],[CLAS SCRATCH]]</f>
        <v/>
      </c>
      <c r="O59" s="183" t="str">
        <f>IF(E59="M",IF(Tabla2[[#This Row],[Tiempo]]="AB","",LOOKUP(Tabla2[[#This Row],[CLAS CLASE]],'Datos puntos'!$A$25:$A$53,'Datos puntos'!$B$25:$B$53)),"")</f>
        <v/>
      </c>
      <c r="P59" s="183" t="str">
        <f>IF(Tabla2[[#This Row],[Puntos scratch]]="","NO PUNTÚA",SUM(Tabla2[[#This Row],[Puntos scratch]],Tabla2[[#This Row],[Puntos clase]])*2)</f>
        <v>NO PUNTÚA</v>
      </c>
      <c r="Q59" s="183" t="str">
        <f>IF(AND(G59="M",Tabla2[[#This Row],[POS]]&lt;&gt;"AB",Tabla2[[#This Row],[POS]]&lt;&gt;"DSQ"),COUNTIF($G$58:G59,"M"),"")</f>
        <v/>
      </c>
      <c r="R59" s="183" t="str">
        <f>IF(G59="M",IF(Tabla2[[#This Row],[Tiempo]]="AB","",LOOKUP(Tabla2[[#This Row],[CLAS SCRATCH2]],'Datos puntos'!$A$2:$A$23,'Datos puntos'!$B$2:$B$23)),"")</f>
        <v/>
      </c>
      <c r="S59" s="183" t="str">
        <f>Tabla2[[#This Row],[CLAS SCRATCH]]</f>
        <v/>
      </c>
      <c r="T59" s="183" t="str">
        <f>IF(G59="M",IF(Tabla2[[#This Row],[Tiempo]]="AB","",LOOKUP(Tabla2[[#This Row],[CLAS CLASE2]],'Datos puntos'!$A$25:$A$53,'Datos puntos'!$B$25:$B$53)),"")</f>
        <v/>
      </c>
      <c r="U59" s="183" t="str">
        <f>IF(Tabla2[[#This Row],[Puntos scratch]]="","NO PUNTÚA",SUM(Tabla2[[#This Row],[Puntos scratch]],Tabla2[[#This Row],[Puntos clase]])*2)</f>
        <v>NO PUNTÚA</v>
      </c>
    </row>
    <row r="60" spans="1:24" x14ac:dyDescent="0.35">
      <c r="A60" s="188"/>
      <c r="B60" s="176"/>
      <c r="C60" s="179"/>
      <c r="D60" s="179"/>
      <c r="E60" s="179"/>
      <c r="F60" s="179"/>
      <c r="G60" s="179"/>
      <c r="H60" s="179"/>
      <c r="I60" s="180"/>
      <c r="J60" s="180"/>
      <c r="K60" s="187"/>
      <c r="L60" s="183" t="str">
        <f>IF(AND(E60="M",Tabla2[[#This Row],[POS]]&lt;&gt;"AB",Tabla2[[#This Row],[POS]]&lt;&gt;"DSQ"),COUNTIF($E$58:E60,"M"),"")</f>
        <v/>
      </c>
      <c r="M60" s="183" t="str">
        <f>IF(E60="M",IF(Tabla2[[#This Row],[Tiempo]]="AB","",LOOKUP(Tabla2[[#This Row],[CLAS SCRATCH]],'Datos puntos'!$A$2:$A$23,'Datos puntos'!$B$2:$B$23)),"")</f>
        <v/>
      </c>
      <c r="N60" s="183" t="str">
        <f>Tabla2[[#This Row],[CLAS SCRATCH]]</f>
        <v/>
      </c>
      <c r="O60" s="183" t="str">
        <f>IF(E60="M",IF(Tabla2[[#This Row],[Tiempo]]="AB","",LOOKUP(Tabla2[[#This Row],[CLAS CLASE]],'Datos puntos'!$A$25:$A$53,'Datos puntos'!$B$25:$B$53)),"")</f>
        <v/>
      </c>
      <c r="P60" s="183" t="str">
        <f>IF(Tabla2[[#This Row],[Puntos scratch]]="","NO PUNTÚA",SUM(Tabla2[[#This Row],[Puntos scratch]],Tabla2[[#This Row],[Puntos clase]])*2)</f>
        <v>NO PUNTÚA</v>
      </c>
      <c r="Q60" s="183" t="str">
        <f>IF(AND(G60="M",Tabla2[[#This Row],[POS]]&lt;&gt;"AB",Tabla2[[#This Row],[POS]]&lt;&gt;"DSQ"),COUNTIF($G$58:G60,"M"),"")</f>
        <v/>
      </c>
      <c r="R60" s="183" t="str">
        <f>IF(G60="M",IF(Tabla2[[#This Row],[Tiempo]]="AB","",LOOKUP(Tabla2[[#This Row],[CLAS SCRATCH2]],'Datos puntos'!$A$2:$A$23,'Datos puntos'!$B$2:$B$23)),"")</f>
        <v/>
      </c>
      <c r="S60" s="183" t="str">
        <f>Tabla2[[#This Row],[CLAS SCRATCH]]</f>
        <v/>
      </c>
      <c r="T60" s="183" t="str">
        <f>IF(G60="M",IF(Tabla2[[#This Row],[Tiempo]]="AB","",LOOKUP(Tabla2[[#This Row],[CLAS CLASE2]],'Datos puntos'!$A$25:$A$53,'Datos puntos'!$B$25:$B$53)),"")</f>
        <v/>
      </c>
      <c r="U60" s="183" t="str">
        <f>IF(Tabla2[[#This Row],[Puntos scratch]]="","NO PUNTÚA",SUM(Tabla2[[#This Row],[Puntos scratch]],Tabla2[[#This Row],[Puntos clase]])*2)</f>
        <v>NO PUNTÚA</v>
      </c>
    </row>
    <row r="61" spans="1:24" x14ac:dyDescent="0.35">
      <c r="A61" s="193"/>
      <c r="B61" s="176"/>
      <c r="C61" s="179"/>
      <c r="D61" s="179"/>
      <c r="E61" s="179"/>
      <c r="F61" s="179"/>
      <c r="G61" s="179"/>
      <c r="H61" s="179"/>
      <c r="I61" s="180"/>
      <c r="J61" s="180"/>
      <c r="K61" s="187"/>
      <c r="L61" s="183" t="str">
        <f>IF(AND(E61="M",Tabla2[[#This Row],[POS]]&lt;&gt;"AB",Tabla2[[#This Row],[POS]]&lt;&gt;"DSQ"),COUNTIF($E$58:E61,"M"),"")</f>
        <v/>
      </c>
      <c r="M61" s="183" t="str">
        <f>IF(E61="M",IF(Tabla2[[#This Row],[Tiempo]]="AB","",LOOKUP(Tabla2[[#This Row],[CLAS SCRATCH]],'Datos puntos'!$A$2:$A$23,'Datos puntos'!$B$2:$B$23)),"")</f>
        <v/>
      </c>
      <c r="N61" s="183" t="str">
        <f>Tabla2[[#This Row],[CLAS SCRATCH]]</f>
        <v/>
      </c>
      <c r="O61" s="183" t="str">
        <f>IF(E61="M",IF(Tabla2[[#This Row],[Tiempo]]="AB","",LOOKUP(Tabla2[[#This Row],[CLAS CLASE]],'Datos puntos'!$A$25:$A$53,'Datos puntos'!$B$25:$B$53)),"")</f>
        <v/>
      </c>
      <c r="P61" s="183" t="str">
        <f>IF(Tabla2[[#This Row],[Puntos scratch]]="","NO PUNTÚA",SUM(Tabla2[[#This Row],[Puntos scratch]],Tabla2[[#This Row],[Puntos clase]])*2)</f>
        <v>NO PUNTÚA</v>
      </c>
      <c r="Q61" s="183" t="str">
        <f>IF(AND(G61="M",Tabla2[[#This Row],[POS]]&lt;&gt;"AB",Tabla2[[#This Row],[POS]]&lt;&gt;"DSQ"),COUNTIF($G$58:G61,"M"),"")</f>
        <v/>
      </c>
      <c r="R61" s="183" t="str">
        <f>IF(G61="M",IF(Tabla2[[#This Row],[Tiempo]]="AB","",LOOKUP(Tabla2[[#This Row],[CLAS SCRATCH2]],'Datos puntos'!$A$2:$A$23,'Datos puntos'!$B$2:$B$23)),"")</f>
        <v/>
      </c>
      <c r="S61" s="183" t="str">
        <f>Tabla2[[#This Row],[CLAS SCRATCH]]</f>
        <v/>
      </c>
      <c r="T61" s="183" t="str">
        <f>IF(G61="M",IF(Tabla2[[#This Row],[Tiempo]]="AB","",LOOKUP(Tabla2[[#This Row],[CLAS CLASE2]],'Datos puntos'!$A$25:$A$53,'Datos puntos'!$B$25:$B$53)),"")</f>
        <v/>
      </c>
      <c r="U61" s="183" t="str">
        <f>IF(Tabla2[[#This Row],[Puntos scratch]]="","NO PUNTÚA",SUM(Tabla2[[#This Row],[Puntos scratch]],Tabla2[[#This Row],[Puntos clase]])*2)</f>
        <v>NO PUNTÚA</v>
      </c>
    </row>
    <row r="62" spans="1:24" x14ac:dyDescent="0.35">
      <c r="A62" s="193"/>
      <c r="B62" s="176"/>
      <c r="C62" s="179"/>
      <c r="D62" s="179"/>
      <c r="E62" s="179"/>
      <c r="F62" s="179"/>
      <c r="G62" s="179"/>
      <c r="H62" s="179"/>
      <c r="I62" s="180"/>
      <c r="J62" s="180"/>
      <c r="K62" s="187"/>
      <c r="L62" s="189"/>
      <c r="M62" s="189"/>
      <c r="N62" s="182"/>
      <c r="O62" s="183"/>
      <c r="P62" s="183"/>
      <c r="Q62" s="183"/>
      <c r="R62" s="183"/>
      <c r="S62" s="183"/>
      <c r="T62" s="183"/>
      <c r="U62" s="183"/>
      <c r="V62" s="183"/>
      <c r="W62" s="183"/>
      <c r="X62" s="183"/>
    </row>
    <row r="63" spans="1:24" x14ac:dyDescent="0.35">
      <c r="I63" s="172"/>
      <c r="J63" s="172"/>
      <c r="K63" s="191"/>
      <c r="L63" s="182" t="s">
        <v>345</v>
      </c>
      <c r="M63" s="192"/>
      <c r="N63" s="192"/>
      <c r="P63" s="182"/>
      <c r="Q63" s="199"/>
      <c r="R63" s="199"/>
      <c r="S63" s="199"/>
    </row>
    <row r="64" spans="1:24" x14ac:dyDescent="0.35">
      <c r="A64" s="213" t="s">
        <v>190</v>
      </c>
      <c r="B64" s="186" t="s">
        <v>191</v>
      </c>
      <c r="C64" s="186" t="s">
        <v>192</v>
      </c>
      <c r="D64" s="186" t="s">
        <v>347</v>
      </c>
      <c r="E64" s="186" t="s">
        <v>194</v>
      </c>
      <c r="F64" s="186" t="s">
        <v>197</v>
      </c>
      <c r="G64" s="186" t="s">
        <v>198</v>
      </c>
      <c r="H64" s="186" t="s">
        <v>2</v>
      </c>
      <c r="I64" s="213" t="s">
        <v>199</v>
      </c>
      <c r="J64" s="214" t="s">
        <v>214</v>
      </c>
      <c r="K64" s="214" t="s">
        <v>217</v>
      </c>
      <c r="L64" s="214" t="s">
        <v>254</v>
      </c>
      <c r="M64" s="214" t="s">
        <v>218</v>
      </c>
      <c r="N64" s="214" t="s">
        <v>219</v>
      </c>
    </row>
    <row r="65" spans="1:14" x14ac:dyDescent="0.35">
      <c r="A65" s="188">
        <v>1</v>
      </c>
      <c r="B65" s="176">
        <v>43</v>
      </c>
      <c r="C65" s="179" t="s">
        <v>646</v>
      </c>
      <c r="D65" s="179" t="s">
        <v>651</v>
      </c>
      <c r="E65" s="179" t="s">
        <v>168</v>
      </c>
      <c r="F65" s="179" t="s">
        <v>269</v>
      </c>
      <c r="G65" s="180" t="s">
        <v>202</v>
      </c>
      <c r="H65" s="180">
        <v>8</v>
      </c>
      <c r="I65" s="187"/>
      <c r="J65" s="183">
        <f>IF(AND(E65="M",Tabla23[[#This Row],[POS]]&lt;&gt;"AB",Tabla23[[#This Row],[POS]]&lt;&gt;"DSQ"),COUNTIF($E$65:E65,"M"),"")</f>
        <v>1</v>
      </c>
      <c r="K65" s="183">
        <f>IF(E65="M",IF(Tabla23[[#This Row],[Tiempo]]="AB","",LOOKUP(Tabla23[[#This Row],[CLAS SCRATCH]],'Datos puntos'!$A$2:$A$23,'Datos puntos'!$B$2:$B$23)),"")</f>
        <v>25</v>
      </c>
      <c r="L65" s="182">
        <f>Tabla23[[#This Row],[CLAS SCRATCH]]</f>
        <v>1</v>
      </c>
      <c r="M65" s="183">
        <f>IF(E65="M",IF(Tabla23[[#This Row],[Tiempo]]="AB","",LOOKUP(Tabla23[[#This Row],[CLAS CLASE]],'Datos puntos'!$A$25:$A$53,'Datos puntos'!$B$25:$B$53)),"")</f>
        <v>10</v>
      </c>
      <c r="N65" s="183">
        <f>IF(Tabla23[[#This Row],[Puntos scratch]]="","NO PUNTÚA",SUM(Tabla23[[#This Row],[Puntos scratch]],Tabla23[[#This Row],[Puntos clase]])*2)</f>
        <v>70</v>
      </c>
    </row>
    <row r="66" spans="1:14" x14ac:dyDescent="0.35">
      <c r="A66" s="193" t="s">
        <v>179</v>
      </c>
      <c r="B66" s="176">
        <v>42</v>
      </c>
      <c r="C66" s="179" t="s">
        <v>236</v>
      </c>
      <c r="D66" s="179" t="s">
        <v>652</v>
      </c>
      <c r="E66" s="179" t="s">
        <v>168</v>
      </c>
      <c r="F66" s="179" t="s">
        <v>188</v>
      </c>
      <c r="G66" s="180" t="s">
        <v>202</v>
      </c>
      <c r="H66" s="180">
        <v>8</v>
      </c>
      <c r="I66" s="187" t="s">
        <v>179</v>
      </c>
      <c r="J66" s="183" t="str">
        <f>IF(AND(E66="M",Tabla23[[#This Row],[POS]]&lt;&gt;"AB",Tabla23[[#This Row],[POS]]&lt;&gt;"DSQ"),COUNTIF($E$65:E66,"M"),"")</f>
        <v/>
      </c>
      <c r="K66" s="183" t="str">
        <f>IF(E66="M",IF(Tabla23[[#This Row],[Tiempo]]="AB","",LOOKUP(Tabla23[[#This Row],[CLAS SCRATCH]],'Datos puntos'!$A$2:$A$23,'Datos puntos'!$B$2:$B$23)),"")</f>
        <v/>
      </c>
      <c r="L66" s="183" t="str">
        <f>Tabla23[[#This Row],[CLAS SCRATCH]]</f>
        <v/>
      </c>
      <c r="M66" s="183" t="str">
        <f>IF(E66="M",IF(Tabla23[[#This Row],[Tiempo]]="AB","",LOOKUP(Tabla23[[#This Row],[CLAS CLASE]],'Datos puntos'!$A$25:$A$53,'Datos puntos'!$B$25:$B$53)),"")</f>
        <v/>
      </c>
      <c r="N66" s="183" t="str">
        <f>IF(Tabla23[[#This Row],[Puntos scratch]]="","NO PUNTÚA",SUM(Tabla23[[#This Row],[Puntos scratch]],Tabla23[[#This Row],[Puntos clase]])*2)</f>
        <v>NO PUNTÚA</v>
      </c>
    </row>
    <row r="67" spans="1:14" x14ac:dyDescent="0.35">
      <c r="A67" s="188"/>
      <c r="B67" s="176"/>
      <c r="C67" s="179"/>
      <c r="D67" s="179"/>
      <c r="E67" s="179"/>
      <c r="F67" s="179"/>
      <c r="G67" s="180" t="s">
        <v>202</v>
      </c>
      <c r="H67" s="180">
        <v>8</v>
      </c>
      <c r="I67" s="187"/>
      <c r="J67" s="183" t="str">
        <f>IF(AND(E67="M",Tabla23[[#This Row],[POS]]&lt;&gt;"AB",Tabla23[[#This Row],[POS]]&lt;&gt;"DSQ"),COUNTIF($E$65:E67,"M"),"")</f>
        <v/>
      </c>
      <c r="K67" s="183" t="str">
        <f>IF(E67="M",IF(Tabla23[[#This Row],[Tiempo]]="AB","",LOOKUP(Tabla23[[#This Row],[CLAS SCRATCH]],'Datos puntos'!$A$2:$A$23,'Datos puntos'!$B$2:$B$23)),"")</f>
        <v/>
      </c>
      <c r="L67" s="183" t="str">
        <f>Tabla23[[#This Row],[CLAS SCRATCH]]</f>
        <v/>
      </c>
      <c r="M67" s="183" t="str">
        <f>IF(E67="M",IF(Tabla23[[#This Row],[Tiempo]]="AB","",LOOKUP(Tabla23[[#This Row],[CLAS CLASE]],'Datos puntos'!$A$25:$A$53,'Datos puntos'!$B$25:$B$53)),"")</f>
        <v/>
      </c>
      <c r="N67" s="183" t="str">
        <f>IF(Tabla23[[#This Row],[Puntos scratch]]="","NO PUNTÚA",SUM(Tabla23[[#This Row],[Puntos scratch]],Tabla23[[#This Row],[Puntos clase]])*2)</f>
        <v>NO PUNTÚA</v>
      </c>
    </row>
    <row r="68" spans="1:14" x14ac:dyDescent="0.35">
      <c r="A68" s="193"/>
      <c r="B68" s="176"/>
      <c r="C68" s="179"/>
      <c r="D68" s="179"/>
      <c r="E68" s="179"/>
      <c r="F68" s="179"/>
      <c r="G68" s="180"/>
      <c r="H68" s="180"/>
      <c r="I68" s="187"/>
      <c r="J68" s="183"/>
      <c r="K68" s="183"/>
      <c r="L68" s="183"/>
      <c r="M68" s="183"/>
      <c r="N68" s="183"/>
    </row>
  </sheetData>
  <phoneticPr fontId="63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50" fitToHeight="0" orientation="landscape" r:id="rId1"/>
  <headerFooter>
    <oddHeader>&amp;R&amp;"Canaro Light"&amp;10&amp;K000000 Internal Use&amp;1#_x000D_</oddHeader>
  </headerFooter>
  <rowBreaks count="1" manualBreakCount="1">
    <brk id="62" max="14" man="1"/>
  </rowBreaks>
  <colBreaks count="1" manualBreakCount="1">
    <brk id="8" max="51" man="1"/>
  </colBreaks>
  <tableParts count="5">
    <tablePart r:id="rId2"/>
    <tablePart r:id="rId3"/>
    <tablePart r:id="rId4"/>
    <tablePart r:id="rId5"/>
    <tablePart r:id="rId6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6"/>
  <sheetViews>
    <sheetView zoomScaleNormal="100" zoomScaleSheetLayoutView="90" workbookViewId="0">
      <selection activeCell="J21" sqref="J21"/>
    </sheetView>
  </sheetViews>
  <sheetFormatPr baseColWidth="10" defaultColWidth="12" defaultRowHeight="13" x14ac:dyDescent="0.3"/>
  <cols>
    <col min="1" max="1" width="23.5" style="11" customWidth="1"/>
    <col min="2" max="16384" width="12" style="11"/>
  </cols>
  <sheetData>
    <row r="1" spans="1:10" ht="18.5" thickTop="1" x14ac:dyDescent="0.3">
      <c r="A1" s="557" t="s">
        <v>209</v>
      </c>
      <c r="B1" s="10" t="s">
        <v>204</v>
      </c>
      <c r="C1" s="10" t="s">
        <v>205</v>
      </c>
      <c r="D1" s="10" t="s">
        <v>206</v>
      </c>
      <c r="E1" s="10" t="s">
        <v>207</v>
      </c>
      <c r="F1" s="10" t="s">
        <v>208</v>
      </c>
      <c r="G1" s="10"/>
      <c r="H1" s="10"/>
      <c r="I1" s="10"/>
      <c r="J1" s="559"/>
    </row>
    <row r="2" spans="1:10" x14ac:dyDescent="0.3">
      <c r="A2" s="558"/>
      <c r="B2" s="12">
        <v>44982</v>
      </c>
      <c r="C2" s="12">
        <v>45038</v>
      </c>
      <c r="D2" s="12">
        <v>45052</v>
      </c>
      <c r="E2" s="12">
        <v>45206</v>
      </c>
      <c r="F2" s="12">
        <v>45234</v>
      </c>
      <c r="G2" s="12"/>
      <c r="H2" s="12"/>
      <c r="I2" s="12"/>
      <c r="J2" s="559"/>
    </row>
    <row r="3" spans="1:10" x14ac:dyDescent="0.3">
      <c r="A3" s="13" t="s">
        <v>10</v>
      </c>
      <c r="B3" s="14">
        <v>31</v>
      </c>
      <c r="C3" s="14">
        <v>26</v>
      </c>
      <c r="D3" s="14">
        <v>16</v>
      </c>
      <c r="E3" s="14"/>
      <c r="F3" s="14"/>
      <c r="G3" s="14"/>
      <c r="H3" s="14"/>
      <c r="I3" s="14"/>
      <c r="J3" s="15">
        <f>SUM(B3:G3)/5</f>
        <v>14.6</v>
      </c>
    </row>
    <row r="4" spans="1:10" x14ac:dyDescent="0.3">
      <c r="A4" s="13" t="s">
        <v>11</v>
      </c>
      <c r="B4" s="14">
        <v>3</v>
      </c>
      <c r="C4" s="14">
        <v>2</v>
      </c>
      <c r="D4" s="14">
        <v>14</v>
      </c>
      <c r="E4" s="14"/>
      <c r="F4" s="14"/>
      <c r="G4" s="14"/>
      <c r="H4" s="14"/>
      <c r="I4" s="14"/>
      <c r="J4" s="15">
        <f>SUM(B4:F4)/5</f>
        <v>3.8</v>
      </c>
    </row>
    <row r="5" spans="1:10" x14ac:dyDescent="0.3">
      <c r="A5" s="16" t="s">
        <v>12</v>
      </c>
      <c r="B5" s="17">
        <v>34</v>
      </c>
      <c r="C5" s="17">
        <v>28</v>
      </c>
      <c r="D5" s="17">
        <v>30</v>
      </c>
      <c r="E5" s="17"/>
      <c r="F5" s="17"/>
      <c r="G5" s="17"/>
      <c r="H5" s="17"/>
      <c r="I5" s="17"/>
      <c r="J5" s="15">
        <f>SUM(B5:F5)/5</f>
        <v>18.399999999999999</v>
      </c>
    </row>
    <row r="6" spans="1:10" x14ac:dyDescent="0.3">
      <c r="A6" s="18" t="s">
        <v>13</v>
      </c>
      <c r="B6" s="19">
        <v>25</v>
      </c>
      <c r="C6" s="19">
        <v>21</v>
      </c>
      <c r="D6" s="19">
        <v>23</v>
      </c>
      <c r="E6" s="19"/>
      <c r="F6" s="19"/>
      <c r="G6" s="19"/>
      <c r="H6" s="19"/>
      <c r="I6" s="19"/>
      <c r="J6" s="15">
        <f>SUM(B6:F6)/5</f>
        <v>13.8</v>
      </c>
    </row>
    <row r="7" spans="1:10" x14ac:dyDescent="0.3">
      <c r="A7" s="18" t="s">
        <v>14</v>
      </c>
      <c r="B7" s="19">
        <v>9</v>
      </c>
      <c r="C7" s="19">
        <v>7</v>
      </c>
      <c r="D7" s="19">
        <v>5</v>
      </c>
      <c r="E7" s="19"/>
      <c r="F7" s="19"/>
      <c r="G7" s="19"/>
      <c r="H7" s="19"/>
      <c r="I7" s="19"/>
      <c r="J7" s="15">
        <f>SUM(B7:F7)/5</f>
        <v>4.2</v>
      </c>
    </row>
    <row r="8" spans="1:10" ht="16" x14ac:dyDescent="0.3">
      <c r="A8" s="20" t="s">
        <v>15</v>
      </c>
      <c r="B8" s="21">
        <v>34</v>
      </c>
      <c r="C8" s="21">
        <v>28</v>
      </c>
      <c r="D8" s="21">
        <v>28</v>
      </c>
      <c r="E8" s="21"/>
      <c r="F8" s="21"/>
      <c r="G8" s="21"/>
      <c r="H8" s="21"/>
      <c r="I8" s="21"/>
      <c r="J8" s="15">
        <f>SUM(A8:F8)/5</f>
        <v>18</v>
      </c>
    </row>
    <row r="9" spans="1:10" x14ac:dyDescent="0.25">
      <c r="A9" s="22" t="s">
        <v>16</v>
      </c>
      <c r="B9" s="23" t="s">
        <v>17</v>
      </c>
      <c r="C9" s="23" t="s">
        <v>18</v>
      </c>
      <c r="D9" s="23" t="s">
        <v>19</v>
      </c>
      <c r="E9" s="23" t="s">
        <v>20</v>
      </c>
      <c r="F9" s="23" t="s">
        <v>21</v>
      </c>
      <c r="G9" s="23"/>
      <c r="H9" s="23"/>
      <c r="I9" s="23"/>
      <c r="J9" s="24"/>
    </row>
    <row r="10" spans="1:10" x14ac:dyDescent="0.25">
      <c r="A10" s="22" t="s">
        <v>22</v>
      </c>
      <c r="B10" s="25"/>
      <c r="C10" s="25"/>
      <c r="D10" s="25"/>
      <c r="E10" s="25"/>
      <c r="F10" s="25"/>
      <c r="G10" s="25"/>
      <c r="H10" s="25"/>
      <c r="I10" s="25"/>
      <c r="J10" s="24"/>
    </row>
    <row r="11" spans="1:10" x14ac:dyDescent="0.25">
      <c r="A11" s="22" t="s">
        <v>23</v>
      </c>
      <c r="B11" s="26">
        <v>9</v>
      </c>
      <c r="C11" s="26">
        <v>5</v>
      </c>
      <c r="D11" s="26">
        <v>2</v>
      </c>
      <c r="E11" s="26"/>
      <c r="F11" s="26"/>
      <c r="G11" s="26"/>
      <c r="H11" s="26"/>
      <c r="I11" s="26"/>
      <c r="J11" s="27"/>
    </row>
    <row r="12" spans="1:10" x14ac:dyDescent="0.25">
      <c r="A12" s="22" t="s">
        <v>24</v>
      </c>
      <c r="B12" s="28">
        <v>24</v>
      </c>
      <c r="C12" s="28">
        <v>21</v>
      </c>
      <c r="D12" s="28">
        <v>26</v>
      </c>
      <c r="E12" s="28"/>
      <c r="F12" s="28"/>
      <c r="G12" s="28"/>
      <c r="H12" s="28"/>
      <c r="I12" s="28"/>
      <c r="J12" s="27"/>
    </row>
    <row r="13" spans="1:10" x14ac:dyDescent="0.25">
      <c r="A13" s="128" t="s">
        <v>203</v>
      </c>
      <c r="B13" s="28">
        <v>1</v>
      </c>
      <c r="C13" s="28">
        <v>2</v>
      </c>
      <c r="D13" s="28">
        <v>0</v>
      </c>
      <c r="E13" s="28"/>
      <c r="F13" s="28"/>
      <c r="G13" s="28"/>
      <c r="H13" s="28"/>
      <c r="I13" s="28"/>
      <c r="J13" s="27"/>
    </row>
    <row r="14" spans="1:10" x14ac:dyDescent="0.3">
      <c r="A14" s="560"/>
      <c r="B14" s="28" t="s">
        <v>25</v>
      </c>
      <c r="C14" s="28" t="s">
        <v>26</v>
      </c>
      <c r="D14" s="28" t="s">
        <v>27</v>
      </c>
      <c r="E14" s="28" t="s">
        <v>28</v>
      </c>
      <c r="F14" s="28" t="s">
        <v>29</v>
      </c>
      <c r="G14" s="28" t="s">
        <v>30</v>
      </c>
      <c r="H14" s="28" t="s">
        <v>42</v>
      </c>
      <c r="I14" s="28" t="s">
        <v>31</v>
      </c>
      <c r="J14" s="27"/>
    </row>
    <row r="15" spans="1:10" ht="13.5" thickBot="1" x14ac:dyDescent="0.3">
      <c r="A15" s="561"/>
      <c r="B15" s="29">
        <v>7</v>
      </c>
      <c r="C15" s="29">
        <v>14</v>
      </c>
      <c r="D15" s="29">
        <v>17</v>
      </c>
      <c r="E15" s="29">
        <v>8</v>
      </c>
      <c r="F15" s="29">
        <v>5</v>
      </c>
      <c r="G15" s="29">
        <v>6</v>
      </c>
      <c r="H15" s="29">
        <v>2</v>
      </c>
      <c r="I15" s="29">
        <v>0</v>
      </c>
      <c r="J15" s="34"/>
    </row>
    <row r="16" spans="1:10" ht="13.5" thickTop="1" x14ac:dyDescent="0.3"/>
  </sheetData>
  <mergeCells count="3">
    <mergeCell ref="A1:A2"/>
    <mergeCell ref="J1:J2"/>
    <mergeCell ref="A14:A15"/>
  </mergeCells>
  <pageMargins left="0.7" right="0.7" top="0.75" bottom="0.75" header="0.3" footer="0.3"/>
  <pageSetup paperSize="9" scale="111" orientation="landscape" r:id="rId1"/>
  <headerFooter>
    <oddHeader>&amp;R&amp;"Canaro Light"&amp;10&amp;K000000 Internal Use&amp;1#_x000D_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125"/>
  <sheetViews>
    <sheetView showGridLines="0" view="pageBreakPreview" zoomScaleNormal="100" zoomScaleSheetLayoutView="100" workbookViewId="0">
      <selection activeCell="D6" sqref="D6"/>
    </sheetView>
  </sheetViews>
  <sheetFormatPr baseColWidth="10" defaultRowHeight="13" x14ac:dyDescent="0.3"/>
  <cols>
    <col min="1" max="1" width="16.69921875" style="118" customWidth="1"/>
    <col min="2" max="2" width="12.19921875" style="118" bestFit="1" customWidth="1"/>
    <col min="3" max="4" width="12.69921875" style="35" bestFit="1" customWidth="1"/>
    <col min="5" max="5" width="11.19921875" style="118" bestFit="1" customWidth="1"/>
    <col min="6" max="6" width="12.19921875" style="118" bestFit="1" customWidth="1"/>
    <col min="7" max="8" width="11.19921875" style="118" bestFit="1" customWidth="1"/>
    <col min="9" max="12" width="9.296875" style="118" customWidth="1"/>
    <col min="13" max="13" width="10" style="118" bestFit="1" customWidth="1"/>
    <col min="14" max="14" width="12.296875" style="118" bestFit="1" customWidth="1"/>
    <col min="15" max="256" width="12" style="35"/>
    <col min="257" max="257" width="16.69921875" style="35" customWidth="1"/>
    <col min="258" max="268" width="9.296875" style="35" customWidth="1"/>
    <col min="269" max="269" width="7.69921875" style="35" customWidth="1"/>
    <col min="270" max="270" width="6.19921875" style="35" customWidth="1"/>
    <col min="271" max="512" width="12" style="35"/>
    <col min="513" max="513" width="16.69921875" style="35" customWidth="1"/>
    <col min="514" max="524" width="9.296875" style="35" customWidth="1"/>
    <col min="525" max="525" width="7.69921875" style="35" customWidth="1"/>
    <col min="526" max="526" width="6.19921875" style="35" customWidth="1"/>
    <col min="527" max="768" width="12" style="35"/>
    <col min="769" max="769" width="16.69921875" style="35" customWidth="1"/>
    <col min="770" max="780" width="9.296875" style="35" customWidth="1"/>
    <col min="781" max="781" width="7.69921875" style="35" customWidth="1"/>
    <col min="782" max="782" width="6.19921875" style="35" customWidth="1"/>
    <col min="783" max="1024" width="12" style="35"/>
    <col min="1025" max="1025" width="16.69921875" style="35" customWidth="1"/>
    <col min="1026" max="1036" width="9.296875" style="35" customWidth="1"/>
    <col min="1037" max="1037" width="7.69921875" style="35" customWidth="1"/>
    <col min="1038" max="1038" width="6.19921875" style="35" customWidth="1"/>
    <col min="1039" max="1280" width="12" style="35"/>
    <col min="1281" max="1281" width="16.69921875" style="35" customWidth="1"/>
    <col min="1282" max="1292" width="9.296875" style="35" customWidth="1"/>
    <col min="1293" max="1293" width="7.69921875" style="35" customWidth="1"/>
    <col min="1294" max="1294" width="6.19921875" style="35" customWidth="1"/>
    <col min="1295" max="1536" width="12" style="35"/>
    <col min="1537" max="1537" width="16.69921875" style="35" customWidth="1"/>
    <col min="1538" max="1548" width="9.296875" style="35" customWidth="1"/>
    <col min="1549" max="1549" width="7.69921875" style="35" customWidth="1"/>
    <col min="1550" max="1550" width="6.19921875" style="35" customWidth="1"/>
    <col min="1551" max="1792" width="12" style="35"/>
    <col min="1793" max="1793" width="16.69921875" style="35" customWidth="1"/>
    <col min="1794" max="1804" width="9.296875" style="35" customWidth="1"/>
    <col min="1805" max="1805" width="7.69921875" style="35" customWidth="1"/>
    <col min="1806" max="1806" width="6.19921875" style="35" customWidth="1"/>
    <col min="1807" max="2048" width="12" style="35"/>
    <col min="2049" max="2049" width="16.69921875" style="35" customWidth="1"/>
    <col min="2050" max="2060" width="9.296875" style="35" customWidth="1"/>
    <col min="2061" max="2061" width="7.69921875" style="35" customWidth="1"/>
    <col min="2062" max="2062" width="6.19921875" style="35" customWidth="1"/>
    <col min="2063" max="2304" width="12" style="35"/>
    <col min="2305" max="2305" width="16.69921875" style="35" customWidth="1"/>
    <col min="2306" max="2316" width="9.296875" style="35" customWidth="1"/>
    <col min="2317" max="2317" width="7.69921875" style="35" customWidth="1"/>
    <col min="2318" max="2318" width="6.19921875" style="35" customWidth="1"/>
    <col min="2319" max="2560" width="12" style="35"/>
    <col min="2561" max="2561" width="16.69921875" style="35" customWidth="1"/>
    <col min="2562" max="2572" width="9.296875" style="35" customWidth="1"/>
    <col min="2573" max="2573" width="7.69921875" style="35" customWidth="1"/>
    <col min="2574" max="2574" width="6.19921875" style="35" customWidth="1"/>
    <col min="2575" max="2816" width="12" style="35"/>
    <col min="2817" max="2817" width="16.69921875" style="35" customWidth="1"/>
    <col min="2818" max="2828" width="9.296875" style="35" customWidth="1"/>
    <col min="2829" max="2829" width="7.69921875" style="35" customWidth="1"/>
    <col min="2830" max="2830" width="6.19921875" style="35" customWidth="1"/>
    <col min="2831" max="3072" width="12" style="35"/>
    <col min="3073" max="3073" width="16.69921875" style="35" customWidth="1"/>
    <col min="3074" max="3084" width="9.296875" style="35" customWidth="1"/>
    <col min="3085" max="3085" width="7.69921875" style="35" customWidth="1"/>
    <col min="3086" max="3086" width="6.19921875" style="35" customWidth="1"/>
    <col min="3087" max="3328" width="12" style="35"/>
    <col min="3329" max="3329" width="16.69921875" style="35" customWidth="1"/>
    <col min="3330" max="3340" width="9.296875" style="35" customWidth="1"/>
    <col min="3341" max="3341" width="7.69921875" style="35" customWidth="1"/>
    <col min="3342" max="3342" width="6.19921875" style="35" customWidth="1"/>
    <col min="3343" max="3584" width="12" style="35"/>
    <col min="3585" max="3585" width="16.69921875" style="35" customWidth="1"/>
    <col min="3586" max="3596" width="9.296875" style="35" customWidth="1"/>
    <col min="3597" max="3597" width="7.69921875" style="35" customWidth="1"/>
    <col min="3598" max="3598" width="6.19921875" style="35" customWidth="1"/>
    <col min="3599" max="3840" width="12" style="35"/>
    <col min="3841" max="3841" width="16.69921875" style="35" customWidth="1"/>
    <col min="3842" max="3852" width="9.296875" style="35" customWidth="1"/>
    <col min="3853" max="3853" width="7.69921875" style="35" customWidth="1"/>
    <col min="3854" max="3854" width="6.19921875" style="35" customWidth="1"/>
    <col min="3855" max="4096" width="12" style="35"/>
    <col min="4097" max="4097" width="16.69921875" style="35" customWidth="1"/>
    <col min="4098" max="4108" width="9.296875" style="35" customWidth="1"/>
    <col min="4109" max="4109" width="7.69921875" style="35" customWidth="1"/>
    <col min="4110" max="4110" width="6.19921875" style="35" customWidth="1"/>
    <col min="4111" max="4352" width="12" style="35"/>
    <col min="4353" max="4353" width="16.69921875" style="35" customWidth="1"/>
    <col min="4354" max="4364" width="9.296875" style="35" customWidth="1"/>
    <col min="4365" max="4365" width="7.69921875" style="35" customWidth="1"/>
    <col min="4366" max="4366" width="6.19921875" style="35" customWidth="1"/>
    <col min="4367" max="4608" width="12" style="35"/>
    <col min="4609" max="4609" width="16.69921875" style="35" customWidth="1"/>
    <col min="4610" max="4620" width="9.296875" style="35" customWidth="1"/>
    <col min="4621" max="4621" width="7.69921875" style="35" customWidth="1"/>
    <col min="4622" max="4622" width="6.19921875" style="35" customWidth="1"/>
    <col min="4623" max="4864" width="12" style="35"/>
    <col min="4865" max="4865" width="16.69921875" style="35" customWidth="1"/>
    <col min="4866" max="4876" width="9.296875" style="35" customWidth="1"/>
    <col min="4877" max="4877" width="7.69921875" style="35" customWidth="1"/>
    <col min="4878" max="4878" width="6.19921875" style="35" customWidth="1"/>
    <col min="4879" max="5120" width="12" style="35"/>
    <col min="5121" max="5121" width="16.69921875" style="35" customWidth="1"/>
    <col min="5122" max="5132" width="9.296875" style="35" customWidth="1"/>
    <col min="5133" max="5133" width="7.69921875" style="35" customWidth="1"/>
    <col min="5134" max="5134" width="6.19921875" style="35" customWidth="1"/>
    <col min="5135" max="5376" width="12" style="35"/>
    <col min="5377" max="5377" width="16.69921875" style="35" customWidth="1"/>
    <col min="5378" max="5388" width="9.296875" style="35" customWidth="1"/>
    <col min="5389" max="5389" width="7.69921875" style="35" customWidth="1"/>
    <col min="5390" max="5390" width="6.19921875" style="35" customWidth="1"/>
    <col min="5391" max="5632" width="12" style="35"/>
    <col min="5633" max="5633" width="16.69921875" style="35" customWidth="1"/>
    <col min="5634" max="5644" width="9.296875" style="35" customWidth="1"/>
    <col min="5645" max="5645" width="7.69921875" style="35" customWidth="1"/>
    <col min="5646" max="5646" width="6.19921875" style="35" customWidth="1"/>
    <col min="5647" max="5888" width="12" style="35"/>
    <col min="5889" max="5889" width="16.69921875" style="35" customWidth="1"/>
    <col min="5890" max="5900" width="9.296875" style="35" customWidth="1"/>
    <col min="5901" max="5901" width="7.69921875" style="35" customWidth="1"/>
    <col min="5902" max="5902" width="6.19921875" style="35" customWidth="1"/>
    <col min="5903" max="6144" width="12" style="35"/>
    <col min="6145" max="6145" width="16.69921875" style="35" customWidth="1"/>
    <col min="6146" max="6156" width="9.296875" style="35" customWidth="1"/>
    <col min="6157" max="6157" width="7.69921875" style="35" customWidth="1"/>
    <col min="6158" max="6158" width="6.19921875" style="35" customWidth="1"/>
    <col min="6159" max="6400" width="12" style="35"/>
    <col min="6401" max="6401" width="16.69921875" style="35" customWidth="1"/>
    <col min="6402" max="6412" width="9.296875" style="35" customWidth="1"/>
    <col min="6413" max="6413" width="7.69921875" style="35" customWidth="1"/>
    <col min="6414" max="6414" width="6.19921875" style="35" customWidth="1"/>
    <col min="6415" max="6656" width="12" style="35"/>
    <col min="6657" max="6657" width="16.69921875" style="35" customWidth="1"/>
    <col min="6658" max="6668" width="9.296875" style="35" customWidth="1"/>
    <col min="6669" max="6669" width="7.69921875" style="35" customWidth="1"/>
    <col min="6670" max="6670" width="6.19921875" style="35" customWidth="1"/>
    <col min="6671" max="6912" width="12" style="35"/>
    <col min="6913" max="6913" width="16.69921875" style="35" customWidth="1"/>
    <col min="6914" max="6924" width="9.296875" style="35" customWidth="1"/>
    <col min="6925" max="6925" width="7.69921875" style="35" customWidth="1"/>
    <col min="6926" max="6926" width="6.19921875" style="35" customWidth="1"/>
    <col min="6927" max="7168" width="12" style="35"/>
    <col min="7169" max="7169" width="16.69921875" style="35" customWidth="1"/>
    <col min="7170" max="7180" width="9.296875" style="35" customWidth="1"/>
    <col min="7181" max="7181" width="7.69921875" style="35" customWidth="1"/>
    <col min="7182" max="7182" width="6.19921875" style="35" customWidth="1"/>
    <col min="7183" max="7424" width="12" style="35"/>
    <col min="7425" max="7425" width="16.69921875" style="35" customWidth="1"/>
    <col min="7426" max="7436" width="9.296875" style="35" customWidth="1"/>
    <col min="7437" max="7437" width="7.69921875" style="35" customWidth="1"/>
    <col min="7438" max="7438" width="6.19921875" style="35" customWidth="1"/>
    <col min="7439" max="7680" width="12" style="35"/>
    <col min="7681" max="7681" width="16.69921875" style="35" customWidth="1"/>
    <col min="7682" max="7692" width="9.296875" style="35" customWidth="1"/>
    <col min="7693" max="7693" width="7.69921875" style="35" customWidth="1"/>
    <col min="7694" max="7694" width="6.19921875" style="35" customWidth="1"/>
    <col min="7695" max="7936" width="12" style="35"/>
    <col min="7937" max="7937" width="16.69921875" style="35" customWidth="1"/>
    <col min="7938" max="7948" width="9.296875" style="35" customWidth="1"/>
    <col min="7949" max="7949" width="7.69921875" style="35" customWidth="1"/>
    <col min="7950" max="7950" width="6.19921875" style="35" customWidth="1"/>
    <col min="7951" max="8192" width="12" style="35"/>
    <col min="8193" max="8193" width="16.69921875" style="35" customWidth="1"/>
    <col min="8194" max="8204" width="9.296875" style="35" customWidth="1"/>
    <col min="8205" max="8205" width="7.69921875" style="35" customWidth="1"/>
    <col min="8206" max="8206" width="6.19921875" style="35" customWidth="1"/>
    <col min="8207" max="8448" width="12" style="35"/>
    <col min="8449" max="8449" width="16.69921875" style="35" customWidth="1"/>
    <col min="8450" max="8460" width="9.296875" style="35" customWidth="1"/>
    <col min="8461" max="8461" width="7.69921875" style="35" customWidth="1"/>
    <col min="8462" max="8462" width="6.19921875" style="35" customWidth="1"/>
    <col min="8463" max="8704" width="12" style="35"/>
    <col min="8705" max="8705" width="16.69921875" style="35" customWidth="1"/>
    <col min="8706" max="8716" width="9.296875" style="35" customWidth="1"/>
    <col min="8717" max="8717" width="7.69921875" style="35" customWidth="1"/>
    <col min="8718" max="8718" width="6.19921875" style="35" customWidth="1"/>
    <col min="8719" max="8960" width="12" style="35"/>
    <col min="8961" max="8961" width="16.69921875" style="35" customWidth="1"/>
    <col min="8962" max="8972" width="9.296875" style="35" customWidth="1"/>
    <col min="8973" max="8973" width="7.69921875" style="35" customWidth="1"/>
    <col min="8974" max="8974" width="6.19921875" style="35" customWidth="1"/>
    <col min="8975" max="9216" width="12" style="35"/>
    <col min="9217" max="9217" width="16.69921875" style="35" customWidth="1"/>
    <col min="9218" max="9228" width="9.296875" style="35" customWidth="1"/>
    <col min="9229" max="9229" width="7.69921875" style="35" customWidth="1"/>
    <col min="9230" max="9230" width="6.19921875" style="35" customWidth="1"/>
    <col min="9231" max="9472" width="12" style="35"/>
    <col min="9473" max="9473" width="16.69921875" style="35" customWidth="1"/>
    <col min="9474" max="9484" width="9.296875" style="35" customWidth="1"/>
    <col min="9485" max="9485" width="7.69921875" style="35" customWidth="1"/>
    <col min="9486" max="9486" width="6.19921875" style="35" customWidth="1"/>
    <col min="9487" max="9728" width="12" style="35"/>
    <col min="9729" max="9729" width="16.69921875" style="35" customWidth="1"/>
    <col min="9730" max="9740" width="9.296875" style="35" customWidth="1"/>
    <col min="9741" max="9741" width="7.69921875" style="35" customWidth="1"/>
    <col min="9742" max="9742" width="6.19921875" style="35" customWidth="1"/>
    <col min="9743" max="9984" width="12" style="35"/>
    <col min="9985" max="9985" width="16.69921875" style="35" customWidth="1"/>
    <col min="9986" max="9996" width="9.296875" style="35" customWidth="1"/>
    <col min="9997" max="9997" width="7.69921875" style="35" customWidth="1"/>
    <col min="9998" max="9998" width="6.19921875" style="35" customWidth="1"/>
    <col min="9999" max="10240" width="12" style="35"/>
    <col min="10241" max="10241" width="16.69921875" style="35" customWidth="1"/>
    <col min="10242" max="10252" width="9.296875" style="35" customWidth="1"/>
    <col min="10253" max="10253" width="7.69921875" style="35" customWidth="1"/>
    <col min="10254" max="10254" width="6.19921875" style="35" customWidth="1"/>
    <col min="10255" max="10496" width="12" style="35"/>
    <col min="10497" max="10497" width="16.69921875" style="35" customWidth="1"/>
    <col min="10498" max="10508" width="9.296875" style="35" customWidth="1"/>
    <col min="10509" max="10509" width="7.69921875" style="35" customWidth="1"/>
    <col min="10510" max="10510" width="6.19921875" style="35" customWidth="1"/>
    <col min="10511" max="10752" width="12" style="35"/>
    <col min="10753" max="10753" width="16.69921875" style="35" customWidth="1"/>
    <col min="10754" max="10764" width="9.296875" style="35" customWidth="1"/>
    <col min="10765" max="10765" width="7.69921875" style="35" customWidth="1"/>
    <col min="10766" max="10766" width="6.19921875" style="35" customWidth="1"/>
    <col min="10767" max="11008" width="12" style="35"/>
    <col min="11009" max="11009" width="16.69921875" style="35" customWidth="1"/>
    <col min="11010" max="11020" width="9.296875" style="35" customWidth="1"/>
    <col min="11021" max="11021" width="7.69921875" style="35" customWidth="1"/>
    <col min="11022" max="11022" width="6.19921875" style="35" customWidth="1"/>
    <col min="11023" max="11264" width="12" style="35"/>
    <col min="11265" max="11265" width="16.69921875" style="35" customWidth="1"/>
    <col min="11266" max="11276" width="9.296875" style="35" customWidth="1"/>
    <col min="11277" max="11277" width="7.69921875" style="35" customWidth="1"/>
    <col min="11278" max="11278" width="6.19921875" style="35" customWidth="1"/>
    <col min="11279" max="11520" width="12" style="35"/>
    <col min="11521" max="11521" width="16.69921875" style="35" customWidth="1"/>
    <col min="11522" max="11532" width="9.296875" style="35" customWidth="1"/>
    <col min="11533" max="11533" width="7.69921875" style="35" customWidth="1"/>
    <col min="11534" max="11534" width="6.19921875" style="35" customWidth="1"/>
    <col min="11535" max="11776" width="12" style="35"/>
    <col min="11777" max="11777" width="16.69921875" style="35" customWidth="1"/>
    <col min="11778" max="11788" width="9.296875" style="35" customWidth="1"/>
    <col min="11789" max="11789" width="7.69921875" style="35" customWidth="1"/>
    <col min="11790" max="11790" width="6.19921875" style="35" customWidth="1"/>
    <col min="11791" max="12032" width="12" style="35"/>
    <col min="12033" max="12033" width="16.69921875" style="35" customWidth="1"/>
    <col min="12034" max="12044" width="9.296875" style="35" customWidth="1"/>
    <col min="12045" max="12045" width="7.69921875" style="35" customWidth="1"/>
    <col min="12046" max="12046" width="6.19921875" style="35" customWidth="1"/>
    <col min="12047" max="12288" width="12" style="35"/>
    <col min="12289" max="12289" width="16.69921875" style="35" customWidth="1"/>
    <col min="12290" max="12300" width="9.296875" style="35" customWidth="1"/>
    <col min="12301" max="12301" width="7.69921875" style="35" customWidth="1"/>
    <col min="12302" max="12302" width="6.19921875" style="35" customWidth="1"/>
    <col min="12303" max="12544" width="12" style="35"/>
    <col min="12545" max="12545" width="16.69921875" style="35" customWidth="1"/>
    <col min="12546" max="12556" width="9.296875" style="35" customWidth="1"/>
    <col min="12557" max="12557" width="7.69921875" style="35" customWidth="1"/>
    <col min="12558" max="12558" width="6.19921875" style="35" customWidth="1"/>
    <col min="12559" max="12800" width="12" style="35"/>
    <col min="12801" max="12801" width="16.69921875" style="35" customWidth="1"/>
    <col min="12802" max="12812" width="9.296875" style="35" customWidth="1"/>
    <col min="12813" max="12813" width="7.69921875" style="35" customWidth="1"/>
    <col min="12814" max="12814" width="6.19921875" style="35" customWidth="1"/>
    <col min="12815" max="13056" width="12" style="35"/>
    <col min="13057" max="13057" width="16.69921875" style="35" customWidth="1"/>
    <col min="13058" max="13068" width="9.296875" style="35" customWidth="1"/>
    <col min="13069" max="13069" width="7.69921875" style="35" customWidth="1"/>
    <col min="13070" max="13070" width="6.19921875" style="35" customWidth="1"/>
    <col min="13071" max="13312" width="12" style="35"/>
    <col min="13313" max="13313" width="16.69921875" style="35" customWidth="1"/>
    <col min="13314" max="13324" width="9.296875" style="35" customWidth="1"/>
    <col min="13325" max="13325" width="7.69921875" style="35" customWidth="1"/>
    <col min="13326" max="13326" width="6.19921875" style="35" customWidth="1"/>
    <col min="13327" max="13568" width="12" style="35"/>
    <col min="13569" max="13569" width="16.69921875" style="35" customWidth="1"/>
    <col min="13570" max="13580" width="9.296875" style="35" customWidth="1"/>
    <col min="13581" max="13581" width="7.69921875" style="35" customWidth="1"/>
    <col min="13582" max="13582" width="6.19921875" style="35" customWidth="1"/>
    <col min="13583" max="13824" width="12" style="35"/>
    <col min="13825" max="13825" width="16.69921875" style="35" customWidth="1"/>
    <col min="13826" max="13836" width="9.296875" style="35" customWidth="1"/>
    <col min="13837" max="13837" width="7.69921875" style="35" customWidth="1"/>
    <col min="13838" max="13838" width="6.19921875" style="35" customWidth="1"/>
    <col min="13839" max="14080" width="12" style="35"/>
    <col min="14081" max="14081" width="16.69921875" style="35" customWidth="1"/>
    <col min="14082" max="14092" width="9.296875" style="35" customWidth="1"/>
    <col min="14093" max="14093" width="7.69921875" style="35" customWidth="1"/>
    <col min="14094" max="14094" width="6.19921875" style="35" customWidth="1"/>
    <col min="14095" max="14336" width="12" style="35"/>
    <col min="14337" max="14337" width="16.69921875" style="35" customWidth="1"/>
    <col min="14338" max="14348" width="9.296875" style="35" customWidth="1"/>
    <col min="14349" max="14349" width="7.69921875" style="35" customWidth="1"/>
    <col min="14350" max="14350" width="6.19921875" style="35" customWidth="1"/>
    <col min="14351" max="14592" width="12" style="35"/>
    <col min="14593" max="14593" width="16.69921875" style="35" customWidth="1"/>
    <col min="14594" max="14604" width="9.296875" style="35" customWidth="1"/>
    <col min="14605" max="14605" width="7.69921875" style="35" customWidth="1"/>
    <col min="14606" max="14606" width="6.19921875" style="35" customWidth="1"/>
    <col min="14607" max="14848" width="12" style="35"/>
    <col min="14849" max="14849" width="16.69921875" style="35" customWidth="1"/>
    <col min="14850" max="14860" width="9.296875" style="35" customWidth="1"/>
    <col min="14861" max="14861" width="7.69921875" style="35" customWidth="1"/>
    <col min="14862" max="14862" width="6.19921875" style="35" customWidth="1"/>
    <col min="14863" max="15104" width="12" style="35"/>
    <col min="15105" max="15105" width="16.69921875" style="35" customWidth="1"/>
    <col min="15106" max="15116" width="9.296875" style="35" customWidth="1"/>
    <col min="15117" max="15117" width="7.69921875" style="35" customWidth="1"/>
    <col min="15118" max="15118" width="6.19921875" style="35" customWidth="1"/>
    <col min="15119" max="15360" width="12" style="35"/>
    <col min="15361" max="15361" width="16.69921875" style="35" customWidth="1"/>
    <col min="15362" max="15372" width="9.296875" style="35" customWidth="1"/>
    <col min="15373" max="15373" width="7.69921875" style="35" customWidth="1"/>
    <col min="15374" max="15374" width="6.19921875" style="35" customWidth="1"/>
    <col min="15375" max="15616" width="12" style="35"/>
    <col min="15617" max="15617" width="16.69921875" style="35" customWidth="1"/>
    <col min="15618" max="15628" width="9.296875" style="35" customWidth="1"/>
    <col min="15629" max="15629" width="7.69921875" style="35" customWidth="1"/>
    <col min="15630" max="15630" width="6.19921875" style="35" customWidth="1"/>
    <col min="15631" max="15872" width="12" style="35"/>
    <col min="15873" max="15873" width="16.69921875" style="35" customWidth="1"/>
    <col min="15874" max="15884" width="9.296875" style="35" customWidth="1"/>
    <col min="15885" max="15885" width="7.69921875" style="35" customWidth="1"/>
    <col min="15886" max="15886" width="6.19921875" style="35" customWidth="1"/>
    <col min="15887" max="16128" width="12" style="35"/>
    <col min="16129" max="16129" width="16.69921875" style="35" customWidth="1"/>
    <col min="16130" max="16140" width="9.296875" style="35" customWidth="1"/>
    <col min="16141" max="16141" width="7.69921875" style="35" customWidth="1"/>
    <col min="16142" max="16142" width="6.19921875" style="35" customWidth="1"/>
    <col min="16143" max="16384" width="12" style="35"/>
  </cols>
  <sheetData>
    <row r="1" spans="1:14" ht="36" customHeight="1" x14ac:dyDescent="0.3">
      <c r="A1" s="562"/>
      <c r="B1" s="563" t="s">
        <v>43</v>
      </c>
      <c r="C1" s="563"/>
      <c r="D1" s="563"/>
      <c r="E1" s="563"/>
      <c r="F1" s="563"/>
      <c r="G1" s="563"/>
      <c r="H1" s="563"/>
      <c r="I1" s="563"/>
      <c r="J1" s="563"/>
      <c r="K1" s="563"/>
      <c r="L1" s="563"/>
      <c r="M1" s="563"/>
      <c r="N1" s="563"/>
    </row>
    <row r="2" spans="1:14" ht="32.25" customHeight="1" x14ac:dyDescent="0.3">
      <c r="A2" s="562"/>
      <c r="B2" s="564" t="s">
        <v>210</v>
      </c>
      <c r="C2" s="564"/>
      <c r="D2" s="564"/>
      <c r="E2" s="564"/>
      <c r="F2" s="564"/>
      <c r="G2" s="564"/>
      <c r="H2" s="564"/>
      <c r="I2" s="564"/>
      <c r="J2" s="564"/>
      <c r="K2" s="564"/>
      <c r="L2" s="564"/>
      <c r="M2" s="564"/>
      <c r="N2" s="564"/>
    </row>
    <row r="3" spans="1:14" ht="9.75" customHeight="1" x14ac:dyDescent="0.3">
      <c r="A3" s="565">
        <v>2023</v>
      </c>
      <c r="B3" s="36" t="s">
        <v>158</v>
      </c>
      <c r="C3" s="36" t="s">
        <v>205</v>
      </c>
      <c r="D3" s="36" t="s">
        <v>211</v>
      </c>
      <c r="E3" s="37" t="s">
        <v>207</v>
      </c>
      <c r="F3" s="36" t="s">
        <v>159</v>
      </c>
      <c r="G3" s="37"/>
      <c r="H3" s="37"/>
      <c r="I3" s="37"/>
      <c r="J3" s="37"/>
      <c r="K3" s="38"/>
      <c r="L3" s="39"/>
      <c r="M3" s="567" t="s">
        <v>44</v>
      </c>
      <c r="N3" s="569" t="s">
        <v>45</v>
      </c>
    </row>
    <row r="4" spans="1:14" ht="9.75" customHeight="1" x14ac:dyDescent="0.3">
      <c r="A4" s="566"/>
      <c r="B4" s="40">
        <v>44982</v>
      </c>
      <c r="C4" s="40">
        <v>45038</v>
      </c>
      <c r="D4" s="40">
        <v>45052</v>
      </c>
      <c r="E4" s="40">
        <v>45206</v>
      </c>
      <c r="F4" s="40">
        <v>45234</v>
      </c>
      <c r="G4" s="40"/>
      <c r="H4" s="40"/>
      <c r="I4" s="40"/>
      <c r="J4" s="41"/>
      <c r="K4" s="42"/>
      <c r="L4" s="43"/>
      <c r="M4" s="568"/>
      <c r="N4" s="570"/>
    </row>
    <row r="5" spans="1:14" ht="9.75" customHeight="1" x14ac:dyDescent="0.3">
      <c r="A5" s="44" t="s">
        <v>10</v>
      </c>
      <c r="B5" s="45">
        <v>31</v>
      </c>
      <c r="C5" s="45">
        <v>26</v>
      </c>
      <c r="D5" s="45">
        <v>16</v>
      </c>
      <c r="E5" s="45"/>
      <c r="F5" s="45"/>
      <c r="G5" s="45"/>
      <c r="H5" s="46"/>
      <c r="I5" s="46"/>
      <c r="J5" s="47"/>
      <c r="K5" s="48"/>
      <c r="L5" s="49"/>
      <c r="M5" s="46" t="s">
        <v>87</v>
      </c>
      <c r="N5" s="50">
        <f>SUM(B5:H5)/5</f>
        <v>14.6</v>
      </c>
    </row>
    <row r="6" spans="1:14" ht="9.75" customHeight="1" x14ac:dyDescent="0.3">
      <c r="A6" s="44" t="s">
        <v>46</v>
      </c>
      <c r="B6" s="45">
        <v>3</v>
      </c>
      <c r="C6" s="45">
        <v>2</v>
      </c>
      <c r="D6" s="45">
        <v>14</v>
      </c>
      <c r="E6" s="45"/>
      <c r="F6" s="45"/>
      <c r="G6" s="45"/>
      <c r="H6" s="46"/>
      <c r="I6" s="46"/>
      <c r="J6" s="40"/>
      <c r="K6" s="48"/>
      <c r="L6" s="51"/>
      <c r="M6" s="52" t="s">
        <v>128</v>
      </c>
      <c r="N6" s="50">
        <f>SUM(B6:H6)/5</f>
        <v>3.8</v>
      </c>
    </row>
    <row r="7" spans="1:14" ht="9.75" customHeight="1" thickBot="1" x14ac:dyDescent="0.35">
      <c r="A7" s="44" t="s">
        <v>47</v>
      </c>
      <c r="B7" s="45">
        <v>34</v>
      </c>
      <c r="C7" s="45">
        <v>28</v>
      </c>
      <c r="D7" s="45">
        <v>30</v>
      </c>
      <c r="E7" s="45"/>
      <c r="F7" s="45"/>
      <c r="G7" s="45"/>
      <c r="H7" s="53"/>
      <c r="I7" s="53"/>
      <c r="J7" s="54"/>
      <c r="K7" s="55"/>
      <c r="L7" s="56"/>
      <c r="M7" s="57" t="s">
        <v>73</v>
      </c>
      <c r="N7" s="50">
        <f>SUM(B7:H7)/5</f>
        <v>18.399999999999999</v>
      </c>
    </row>
    <row r="8" spans="1:14" ht="9.75" customHeight="1" thickBot="1" x14ac:dyDescent="0.35">
      <c r="A8" s="58" t="s">
        <v>13</v>
      </c>
      <c r="B8" s="45">
        <v>25</v>
      </c>
      <c r="C8" s="45">
        <v>21</v>
      </c>
      <c r="D8" s="45">
        <v>23</v>
      </c>
      <c r="E8" s="45"/>
      <c r="F8" s="45"/>
      <c r="G8" s="45"/>
      <c r="H8" s="59"/>
      <c r="I8" s="59"/>
      <c r="J8" s="40"/>
      <c r="K8" s="48"/>
      <c r="L8" s="60"/>
      <c r="M8" s="119">
        <v>1.9</v>
      </c>
      <c r="N8" s="50">
        <f>SUM(B8:H8)/5</f>
        <v>13.8</v>
      </c>
    </row>
    <row r="9" spans="1:14" ht="9.75" customHeight="1" x14ac:dyDescent="0.3">
      <c r="A9" s="62" t="s">
        <v>15</v>
      </c>
      <c r="B9" s="63">
        <v>34</v>
      </c>
      <c r="C9" s="63">
        <v>28</v>
      </c>
      <c r="D9" s="63">
        <v>28</v>
      </c>
      <c r="E9" s="63"/>
      <c r="F9" s="63"/>
      <c r="G9" s="63"/>
      <c r="H9" s="63"/>
      <c r="I9" s="63"/>
      <c r="J9" s="64"/>
      <c r="K9" s="65"/>
      <c r="L9" s="66"/>
      <c r="M9" s="67">
        <f>SUM(B9:F9)/4</f>
        <v>22.5</v>
      </c>
      <c r="N9" s="50">
        <f>SUM(B9:H9)/5</f>
        <v>18</v>
      </c>
    </row>
    <row r="10" spans="1:14" ht="9.75" customHeight="1" x14ac:dyDescent="0.3">
      <c r="A10" s="68" t="s">
        <v>49</v>
      </c>
      <c r="B10" s="69" t="s">
        <v>50</v>
      </c>
      <c r="C10" s="69" t="s">
        <v>51</v>
      </c>
      <c r="D10" s="69" t="s">
        <v>52</v>
      </c>
      <c r="E10" s="69" t="s">
        <v>53</v>
      </c>
      <c r="F10" s="69" t="s">
        <v>54</v>
      </c>
      <c r="G10" s="69" t="s">
        <v>55</v>
      </c>
      <c r="H10" s="69" t="s">
        <v>56</v>
      </c>
      <c r="I10" s="69" t="s">
        <v>57</v>
      </c>
      <c r="J10" s="70"/>
      <c r="K10" s="70"/>
      <c r="L10" s="71"/>
      <c r="M10" s="71"/>
      <c r="N10" s="71"/>
    </row>
    <row r="11" spans="1:14" ht="9.75" customHeight="1" x14ac:dyDescent="0.3">
      <c r="A11" s="68" t="s">
        <v>152</v>
      </c>
      <c r="B11" s="72"/>
      <c r="C11" s="72"/>
      <c r="D11" s="72"/>
      <c r="E11" s="72"/>
      <c r="F11" s="72"/>
      <c r="G11" s="72"/>
      <c r="H11" s="72"/>
      <c r="I11" s="72"/>
      <c r="J11" s="73"/>
      <c r="K11" s="73"/>
      <c r="L11" s="71"/>
      <c r="M11" s="71"/>
      <c r="N11" s="71"/>
    </row>
    <row r="12" spans="1:14" s="77" customFormat="1" ht="8.25" customHeight="1" x14ac:dyDescent="0.3">
      <c r="A12" s="74"/>
      <c r="B12" s="129" t="s">
        <v>180</v>
      </c>
      <c r="C12" s="129" t="s">
        <v>181</v>
      </c>
      <c r="D12" s="129" t="s">
        <v>182</v>
      </c>
      <c r="E12" s="129" t="s">
        <v>183</v>
      </c>
      <c r="F12" s="129" t="s">
        <v>94</v>
      </c>
      <c r="G12" s="129" t="s">
        <v>156</v>
      </c>
      <c r="H12" s="129" t="s">
        <v>184</v>
      </c>
      <c r="I12" s="129" t="s">
        <v>66</v>
      </c>
      <c r="J12" s="76"/>
      <c r="K12" s="76"/>
      <c r="L12" s="76"/>
      <c r="M12" s="76"/>
      <c r="N12" s="76"/>
    </row>
    <row r="13" spans="1:14" ht="5.25" customHeight="1" x14ac:dyDescent="0.3">
      <c r="A13" s="78"/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</row>
    <row r="14" spans="1:14" ht="9.75" customHeight="1" x14ac:dyDescent="0.3">
      <c r="A14" s="565">
        <v>2022</v>
      </c>
      <c r="B14" s="36" t="s">
        <v>158</v>
      </c>
      <c r="C14" s="36" t="s">
        <v>70</v>
      </c>
      <c r="D14" s="36" t="s">
        <v>160</v>
      </c>
      <c r="E14" s="37" t="s">
        <v>159</v>
      </c>
      <c r="F14" s="36"/>
      <c r="G14" s="37"/>
      <c r="H14" s="37"/>
      <c r="I14" s="37"/>
      <c r="J14" s="37"/>
      <c r="K14" s="38"/>
      <c r="L14" s="39"/>
      <c r="M14" s="567" t="s">
        <v>44</v>
      </c>
      <c r="N14" s="569" t="s">
        <v>45</v>
      </c>
    </row>
    <row r="15" spans="1:14" ht="9.75" customHeight="1" x14ac:dyDescent="0.3">
      <c r="A15" s="566"/>
      <c r="B15" s="40">
        <v>44618</v>
      </c>
      <c r="C15" s="40">
        <v>44842</v>
      </c>
      <c r="D15" s="40">
        <v>44877</v>
      </c>
      <c r="E15" s="40">
        <v>44891</v>
      </c>
      <c r="F15" s="40"/>
      <c r="G15" s="40"/>
      <c r="H15" s="40"/>
      <c r="I15" s="40"/>
      <c r="J15" s="41"/>
      <c r="K15" s="42"/>
      <c r="L15" s="43"/>
      <c r="M15" s="568"/>
      <c r="N15" s="570"/>
    </row>
    <row r="16" spans="1:14" ht="9.75" customHeight="1" x14ac:dyDescent="0.3">
      <c r="A16" s="44" t="s">
        <v>10</v>
      </c>
      <c r="B16" s="45">
        <v>32</v>
      </c>
      <c r="C16" s="45">
        <v>25</v>
      </c>
      <c r="D16" s="45">
        <v>21</v>
      </c>
      <c r="E16" s="45">
        <v>27</v>
      </c>
      <c r="F16" s="45"/>
      <c r="G16" s="45"/>
      <c r="H16" s="46"/>
      <c r="I16" s="46"/>
      <c r="J16" s="47"/>
      <c r="K16" s="48"/>
      <c r="L16" s="49"/>
      <c r="M16" s="46" t="s">
        <v>87</v>
      </c>
      <c r="N16" s="50">
        <f>SUM(B16:H16)/4</f>
        <v>26.25</v>
      </c>
    </row>
    <row r="17" spans="1:14" ht="9.75" customHeight="1" x14ac:dyDescent="0.3">
      <c r="A17" s="44" t="s">
        <v>46</v>
      </c>
      <c r="B17" s="45">
        <v>9</v>
      </c>
      <c r="C17" s="45">
        <v>32</v>
      </c>
      <c r="D17" s="45">
        <v>5</v>
      </c>
      <c r="E17" s="45">
        <v>4</v>
      </c>
      <c r="F17" s="45"/>
      <c r="G17" s="45"/>
      <c r="H17" s="46"/>
      <c r="I17" s="46"/>
      <c r="J17" s="40"/>
      <c r="K17" s="48"/>
      <c r="L17" s="51"/>
      <c r="M17" s="52" t="s">
        <v>128</v>
      </c>
      <c r="N17" s="50">
        <f>SUM(B17:H17)/4</f>
        <v>12.5</v>
      </c>
    </row>
    <row r="18" spans="1:14" ht="9.75" customHeight="1" thickBot="1" x14ac:dyDescent="0.35">
      <c r="A18" s="44" t="s">
        <v>47</v>
      </c>
      <c r="B18" s="45">
        <v>41</v>
      </c>
      <c r="C18" s="45">
        <v>57</v>
      </c>
      <c r="D18" s="45">
        <v>26</v>
      </c>
      <c r="E18" s="45">
        <v>31</v>
      </c>
      <c r="F18" s="45"/>
      <c r="G18" s="45"/>
      <c r="H18" s="53"/>
      <c r="I18" s="53"/>
      <c r="J18" s="54"/>
      <c r="K18" s="55"/>
      <c r="L18" s="56"/>
      <c r="M18" s="57" t="s">
        <v>73</v>
      </c>
      <c r="N18" s="50">
        <f>SUM(B18:H18)/4</f>
        <v>38.75</v>
      </c>
    </row>
    <row r="19" spans="1:14" ht="9.75" customHeight="1" thickBot="1" x14ac:dyDescent="0.35">
      <c r="A19" s="58" t="s">
        <v>13</v>
      </c>
      <c r="B19" s="45">
        <v>32</v>
      </c>
      <c r="C19" s="45">
        <v>41</v>
      </c>
      <c r="D19" s="45">
        <v>19</v>
      </c>
      <c r="E19" s="45">
        <v>26</v>
      </c>
      <c r="F19" s="45"/>
      <c r="G19" s="45"/>
      <c r="H19" s="59"/>
      <c r="I19" s="59"/>
      <c r="J19" s="40"/>
      <c r="K19" s="48"/>
      <c r="L19" s="60"/>
      <c r="M19" s="119">
        <v>1.9</v>
      </c>
      <c r="N19" s="50">
        <f>SUM(B19:H19)/4</f>
        <v>29.5</v>
      </c>
    </row>
    <row r="20" spans="1:14" ht="9.75" customHeight="1" x14ac:dyDescent="0.3">
      <c r="A20" s="62" t="s">
        <v>15</v>
      </c>
      <c r="B20" s="63">
        <v>38</v>
      </c>
      <c r="C20" s="63">
        <v>56</v>
      </c>
      <c r="D20" s="63">
        <v>26</v>
      </c>
      <c r="E20" s="63">
        <v>28</v>
      </c>
      <c r="F20" s="63"/>
      <c r="G20" s="63"/>
      <c r="H20" s="63"/>
      <c r="I20" s="63"/>
      <c r="J20" s="64"/>
      <c r="K20" s="65"/>
      <c r="L20" s="66"/>
      <c r="M20" s="67">
        <f>SUM(B20:F20)/4</f>
        <v>37</v>
      </c>
      <c r="N20" s="50">
        <f>SUM(B20:H20)/4</f>
        <v>37</v>
      </c>
    </row>
    <row r="21" spans="1:14" ht="9.75" customHeight="1" x14ac:dyDescent="0.3">
      <c r="A21" s="68" t="s">
        <v>49</v>
      </c>
      <c r="B21" s="69" t="s">
        <v>50</v>
      </c>
      <c r="C21" s="69" t="s">
        <v>51</v>
      </c>
      <c r="D21" s="69" t="s">
        <v>52</v>
      </c>
      <c r="E21" s="69" t="s">
        <v>53</v>
      </c>
      <c r="F21" s="69" t="s">
        <v>54</v>
      </c>
      <c r="G21" s="69" t="s">
        <v>55</v>
      </c>
      <c r="H21" s="69" t="s">
        <v>56</v>
      </c>
      <c r="I21" s="69" t="s">
        <v>57</v>
      </c>
      <c r="J21" s="70"/>
      <c r="K21" s="70"/>
      <c r="L21" s="71"/>
      <c r="M21" s="71"/>
      <c r="N21" s="71"/>
    </row>
    <row r="22" spans="1:14" ht="9.75" customHeight="1" x14ac:dyDescent="0.3">
      <c r="A22" s="68" t="s">
        <v>152</v>
      </c>
      <c r="B22" s="72"/>
      <c r="C22" s="72"/>
      <c r="D22" s="72"/>
      <c r="E22" s="72"/>
      <c r="F22" s="72"/>
      <c r="G22" s="72"/>
      <c r="H22" s="72"/>
      <c r="I22" s="72"/>
      <c r="J22" s="73"/>
      <c r="K22" s="73"/>
      <c r="L22" s="71"/>
      <c r="M22" s="71"/>
      <c r="N22" s="71"/>
    </row>
    <row r="23" spans="1:14" s="77" customFormat="1" ht="8.25" customHeight="1" x14ac:dyDescent="0.3">
      <c r="A23" s="74"/>
      <c r="B23" s="75" t="s">
        <v>180</v>
      </c>
      <c r="C23" s="75" t="s">
        <v>181</v>
      </c>
      <c r="D23" s="75" t="s">
        <v>182</v>
      </c>
      <c r="E23" s="75" t="s">
        <v>183</v>
      </c>
      <c r="F23" s="75" t="s">
        <v>94</v>
      </c>
      <c r="G23" s="75" t="s">
        <v>156</v>
      </c>
      <c r="H23" s="75" t="s">
        <v>184</v>
      </c>
      <c r="I23" s="75" t="s">
        <v>66</v>
      </c>
      <c r="J23" s="76"/>
      <c r="K23" s="76"/>
      <c r="L23" s="76"/>
      <c r="M23" s="76"/>
      <c r="N23" s="76"/>
    </row>
    <row r="24" spans="1:14" ht="5.25" customHeight="1" x14ac:dyDescent="0.3">
      <c r="A24" s="78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</row>
    <row r="25" spans="1:14" ht="9.75" customHeight="1" x14ac:dyDescent="0.3">
      <c r="A25" s="565">
        <v>2021</v>
      </c>
      <c r="B25" s="36" t="s">
        <v>149</v>
      </c>
      <c r="C25" s="37" t="s">
        <v>151</v>
      </c>
      <c r="D25" s="36" t="s">
        <v>150</v>
      </c>
      <c r="E25" s="36" t="s">
        <v>70</v>
      </c>
      <c r="F25" s="36" t="s">
        <v>40</v>
      </c>
      <c r="G25" s="37"/>
      <c r="H25" s="37"/>
      <c r="I25" s="37"/>
      <c r="J25" s="37"/>
      <c r="K25" s="38"/>
      <c r="L25" s="39"/>
      <c r="M25" s="567" t="s">
        <v>44</v>
      </c>
      <c r="N25" s="569" t="s">
        <v>45</v>
      </c>
    </row>
    <row r="26" spans="1:14" ht="9.75" customHeight="1" x14ac:dyDescent="0.3">
      <c r="A26" s="566"/>
      <c r="B26" s="40">
        <v>44261</v>
      </c>
      <c r="C26" s="40">
        <v>44408</v>
      </c>
      <c r="D26" s="40">
        <v>44458</v>
      </c>
      <c r="E26" s="40">
        <v>44478</v>
      </c>
      <c r="F26" s="40">
        <v>44499</v>
      </c>
      <c r="G26" s="40"/>
      <c r="H26" s="40"/>
      <c r="I26" s="40"/>
      <c r="J26" s="41"/>
      <c r="K26" s="42"/>
      <c r="L26" s="43"/>
      <c r="M26" s="568"/>
      <c r="N26" s="570"/>
    </row>
    <row r="27" spans="1:14" ht="9.75" customHeight="1" x14ac:dyDescent="0.3">
      <c r="A27" s="44" t="s">
        <v>10</v>
      </c>
      <c r="B27" s="45">
        <v>23</v>
      </c>
      <c r="C27" s="45">
        <v>22</v>
      </c>
      <c r="D27" s="45">
        <v>28</v>
      </c>
      <c r="E27" s="45">
        <v>20</v>
      </c>
      <c r="F27" s="45">
        <v>14</v>
      </c>
      <c r="G27" s="45"/>
      <c r="H27" s="46"/>
      <c r="I27" s="46"/>
      <c r="J27" s="47"/>
      <c r="K27" s="48"/>
      <c r="L27" s="49"/>
      <c r="M27" s="46" t="s">
        <v>87</v>
      </c>
      <c r="N27" s="50">
        <f>SUM(B27:H27)/5</f>
        <v>21.4</v>
      </c>
    </row>
    <row r="28" spans="1:14" ht="9.75" customHeight="1" x14ac:dyDescent="0.3">
      <c r="A28" s="44" t="s">
        <v>46</v>
      </c>
      <c r="B28" s="45">
        <v>39</v>
      </c>
      <c r="C28" s="45">
        <v>13</v>
      </c>
      <c r="D28" s="45">
        <v>8</v>
      </c>
      <c r="E28" s="45">
        <v>44</v>
      </c>
      <c r="F28" s="45">
        <v>7</v>
      </c>
      <c r="G28" s="45"/>
      <c r="H28" s="46"/>
      <c r="I28" s="46"/>
      <c r="J28" s="40"/>
      <c r="K28" s="48"/>
      <c r="L28" s="51"/>
      <c r="M28" s="52" t="s">
        <v>128</v>
      </c>
      <c r="N28" s="50">
        <f>SUM(B28:H28)/5</f>
        <v>22.2</v>
      </c>
    </row>
    <row r="29" spans="1:14" ht="9.75" customHeight="1" thickBot="1" x14ac:dyDescent="0.35">
      <c r="A29" s="44" t="s">
        <v>47</v>
      </c>
      <c r="B29" s="45">
        <v>62</v>
      </c>
      <c r="C29" s="45">
        <v>35</v>
      </c>
      <c r="D29" s="45">
        <v>36</v>
      </c>
      <c r="E29" s="45">
        <v>64</v>
      </c>
      <c r="F29" s="45">
        <v>21</v>
      </c>
      <c r="G29" s="45"/>
      <c r="H29" s="53"/>
      <c r="I29" s="53"/>
      <c r="J29" s="54"/>
      <c r="K29" s="55"/>
      <c r="L29" s="56"/>
      <c r="M29" s="57" t="s">
        <v>73</v>
      </c>
      <c r="N29" s="50">
        <f>SUM(B29:H29)/5</f>
        <v>43.6</v>
      </c>
    </row>
    <row r="30" spans="1:14" ht="9.75" customHeight="1" thickBot="1" x14ac:dyDescent="0.35">
      <c r="A30" s="58" t="s">
        <v>13</v>
      </c>
      <c r="B30" s="45">
        <v>53</v>
      </c>
      <c r="C30" s="45">
        <v>18</v>
      </c>
      <c r="D30" s="45">
        <v>27</v>
      </c>
      <c r="E30" s="45">
        <v>46</v>
      </c>
      <c r="F30" s="45">
        <v>16</v>
      </c>
      <c r="G30" s="45"/>
      <c r="H30" s="59"/>
      <c r="I30" s="59"/>
      <c r="J30" s="40"/>
      <c r="K30" s="48"/>
      <c r="L30" s="60"/>
      <c r="M30" s="119">
        <v>1.9</v>
      </c>
      <c r="N30" s="50">
        <f>SUM(B30:H30)/5</f>
        <v>32</v>
      </c>
    </row>
    <row r="31" spans="1:14" ht="9.75" customHeight="1" x14ac:dyDescent="0.3">
      <c r="A31" s="62" t="s">
        <v>15</v>
      </c>
      <c r="B31" s="63">
        <v>59</v>
      </c>
      <c r="C31" s="63">
        <v>30</v>
      </c>
      <c r="D31" s="63">
        <v>30</v>
      </c>
      <c r="E31" s="63">
        <v>61</v>
      </c>
      <c r="F31" s="63">
        <v>21</v>
      </c>
      <c r="G31" s="63"/>
      <c r="H31" s="63"/>
      <c r="I31" s="63"/>
      <c r="J31" s="64"/>
      <c r="K31" s="65"/>
      <c r="L31" s="66"/>
      <c r="M31" s="67">
        <f>SUM(B31:F31)/5</f>
        <v>40.200000000000003</v>
      </c>
      <c r="N31" s="50">
        <f>SUM(B31:H31)/5</f>
        <v>40.200000000000003</v>
      </c>
    </row>
    <row r="32" spans="1:14" ht="9.75" customHeight="1" x14ac:dyDescent="0.3">
      <c r="A32" s="68" t="s">
        <v>49</v>
      </c>
      <c r="B32" s="69" t="s">
        <v>50</v>
      </c>
      <c r="C32" s="69" t="s">
        <v>51</v>
      </c>
      <c r="D32" s="69" t="s">
        <v>52</v>
      </c>
      <c r="E32" s="69" t="s">
        <v>53</v>
      </c>
      <c r="F32" s="69" t="s">
        <v>54</v>
      </c>
      <c r="G32" s="69" t="s">
        <v>55</v>
      </c>
      <c r="H32" s="69" t="s">
        <v>56</v>
      </c>
      <c r="I32" s="69" t="s">
        <v>57</v>
      </c>
      <c r="J32" s="70"/>
      <c r="K32" s="70"/>
      <c r="L32" s="71"/>
      <c r="M32" s="71"/>
      <c r="N32" s="71"/>
    </row>
    <row r="33" spans="1:14" ht="9.75" customHeight="1" x14ac:dyDescent="0.3">
      <c r="A33" s="68" t="s">
        <v>152</v>
      </c>
      <c r="B33" s="72">
        <v>19</v>
      </c>
      <c r="C33" s="72">
        <v>15</v>
      </c>
      <c r="D33" s="72">
        <v>8</v>
      </c>
      <c r="E33" s="72">
        <v>10</v>
      </c>
      <c r="F33" s="72">
        <v>2</v>
      </c>
      <c r="G33" s="72"/>
      <c r="H33" s="72"/>
      <c r="I33" s="72"/>
      <c r="J33" s="73"/>
      <c r="K33" s="73"/>
      <c r="L33" s="71"/>
      <c r="M33" s="71"/>
      <c r="N33" s="71"/>
    </row>
    <row r="34" spans="1:14" s="77" customFormat="1" ht="8.25" customHeight="1" x14ac:dyDescent="0.3">
      <c r="A34" s="74"/>
      <c r="B34" s="75" t="s">
        <v>153</v>
      </c>
      <c r="C34" s="75" t="s">
        <v>154</v>
      </c>
      <c r="D34" s="75" t="s">
        <v>142</v>
      </c>
      <c r="E34" s="75" t="s">
        <v>62</v>
      </c>
      <c r="F34" s="75" t="s">
        <v>155</v>
      </c>
      <c r="G34" s="75" t="s">
        <v>156</v>
      </c>
      <c r="H34" s="75" t="s">
        <v>157</v>
      </c>
      <c r="I34" s="75" t="s">
        <v>66</v>
      </c>
      <c r="J34" s="76"/>
      <c r="K34" s="76"/>
      <c r="L34" s="76"/>
      <c r="M34" s="76"/>
      <c r="N34" s="76"/>
    </row>
    <row r="35" spans="1:14" ht="5.25" customHeight="1" x14ac:dyDescent="0.3">
      <c r="A35" s="78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</row>
    <row r="36" spans="1:14" ht="9.75" customHeight="1" x14ac:dyDescent="0.3">
      <c r="A36" s="565">
        <v>2020</v>
      </c>
      <c r="B36" s="36" t="s">
        <v>146</v>
      </c>
      <c r="C36" s="36" t="s">
        <v>36</v>
      </c>
      <c r="D36" s="37" t="s">
        <v>147</v>
      </c>
      <c r="E36" s="37" t="s">
        <v>38</v>
      </c>
      <c r="F36" s="37"/>
      <c r="G36" s="36"/>
      <c r="H36" s="37"/>
      <c r="I36" s="37"/>
      <c r="J36" s="37"/>
      <c r="K36" s="38"/>
      <c r="L36" s="39"/>
      <c r="M36" s="567" t="s">
        <v>44</v>
      </c>
      <c r="N36" s="569" t="s">
        <v>45</v>
      </c>
    </row>
    <row r="37" spans="1:14" ht="9.75" customHeight="1" x14ac:dyDescent="0.3">
      <c r="A37" s="566"/>
      <c r="B37" s="40">
        <v>43876</v>
      </c>
      <c r="C37" s="40">
        <v>44087</v>
      </c>
      <c r="D37" s="40">
        <v>44149</v>
      </c>
      <c r="E37" s="40">
        <v>44184</v>
      </c>
      <c r="F37" s="40"/>
      <c r="G37" s="40"/>
      <c r="H37" s="40"/>
      <c r="I37" s="40"/>
      <c r="J37" s="41"/>
      <c r="K37" s="42"/>
      <c r="L37" s="43"/>
      <c r="M37" s="568"/>
      <c r="N37" s="570"/>
    </row>
    <row r="38" spans="1:14" ht="9.75" customHeight="1" x14ac:dyDescent="0.3">
      <c r="A38" s="44" t="s">
        <v>10</v>
      </c>
      <c r="B38" s="45">
        <v>20</v>
      </c>
      <c r="C38" s="45">
        <v>23</v>
      </c>
      <c r="D38" s="45">
        <v>28</v>
      </c>
      <c r="E38" s="45">
        <v>5</v>
      </c>
      <c r="F38" s="45"/>
      <c r="G38" s="45"/>
      <c r="H38" s="46"/>
      <c r="I38" s="46"/>
      <c r="J38" s="47"/>
      <c r="K38" s="48"/>
      <c r="L38" s="49"/>
      <c r="M38" s="46" t="s">
        <v>137</v>
      </c>
      <c r="N38" s="50">
        <f>SUM(B38:G38)/4</f>
        <v>19</v>
      </c>
    </row>
    <row r="39" spans="1:14" ht="9.75" customHeight="1" x14ac:dyDescent="0.3">
      <c r="A39" s="44" t="s">
        <v>46</v>
      </c>
      <c r="B39" s="45">
        <v>8</v>
      </c>
      <c r="C39" s="45">
        <v>9</v>
      </c>
      <c r="D39" s="45">
        <v>8</v>
      </c>
      <c r="E39" s="45">
        <v>21</v>
      </c>
      <c r="F39" s="45"/>
      <c r="G39" s="45"/>
      <c r="H39" s="46"/>
      <c r="I39" s="46"/>
      <c r="J39" s="40"/>
      <c r="K39" s="48"/>
      <c r="L39" s="51"/>
      <c r="M39" s="52" t="s">
        <v>136</v>
      </c>
      <c r="N39" s="50">
        <f>SUM(B39:G39)/4</f>
        <v>11.5</v>
      </c>
    </row>
    <row r="40" spans="1:14" ht="9.75" customHeight="1" thickBot="1" x14ac:dyDescent="0.35">
      <c r="A40" s="44" t="s">
        <v>47</v>
      </c>
      <c r="B40" s="45">
        <v>28</v>
      </c>
      <c r="C40" s="45">
        <v>32</v>
      </c>
      <c r="D40" s="45">
        <v>36</v>
      </c>
      <c r="E40" s="45">
        <v>26</v>
      </c>
      <c r="F40" s="45"/>
      <c r="G40" s="45"/>
      <c r="H40" s="53"/>
      <c r="I40" s="53"/>
      <c r="J40" s="54"/>
      <c r="K40" s="55"/>
      <c r="L40" s="56"/>
      <c r="M40" s="57" t="s">
        <v>73</v>
      </c>
      <c r="N40" s="50">
        <f>SUM(B40:G40)/4</f>
        <v>30.5</v>
      </c>
    </row>
    <row r="41" spans="1:14" ht="9.75" customHeight="1" thickBot="1" x14ac:dyDescent="0.35">
      <c r="A41" s="58" t="s">
        <v>13</v>
      </c>
      <c r="B41" s="45">
        <v>24</v>
      </c>
      <c r="C41" s="45">
        <v>20</v>
      </c>
      <c r="D41" s="45">
        <v>22</v>
      </c>
      <c r="E41" s="45">
        <v>19</v>
      </c>
      <c r="F41" s="45"/>
      <c r="G41" s="45"/>
      <c r="H41" s="59"/>
      <c r="I41" s="59"/>
      <c r="J41" s="40"/>
      <c r="K41" s="48"/>
      <c r="L41" s="60"/>
      <c r="M41" s="119">
        <v>1.9</v>
      </c>
      <c r="N41" s="50">
        <f>SUM(B41:G41)/4</f>
        <v>21.25</v>
      </c>
    </row>
    <row r="42" spans="1:14" ht="9.75" customHeight="1" x14ac:dyDescent="0.3">
      <c r="A42" s="62" t="s">
        <v>15</v>
      </c>
      <c r="B42" s="63">
        <v>28</v>
      </c>
      <c r="C42" s="63">
        <v>31</v>
      </c>
      <c r="D42" s="63">
        <v>30</v>
      </c>
      <c r="E42" s="63">
        <v>25</v>
      </c>
      <c r="F42" s="63"/>
      <c r="G42" s="63"/>
      <c r="H42" s="63"/>
      <c r="I42" s="63"/>
      <c r="J42" s="64"/>
      <c r="K42" s="65"/>
      <c r="L42" s="66"/>
      <c r="M42" s="67">
        <f>SUM(B42,C42,D42,E42)/4</f>
        <v>28.5</v>
      </c>
      <c r="N42" s="50">
        <f>SUM(B42:G42)/4</f>
        <v>28.5</v>
      </c>
    </row>
    <row r="43" spans="1:14" ht="9.75" customHeight="1" x14ac:dyDescent="0.3">
      <c r="A43" s="68" t="s">
        <v>49</v>
      </c>
      <c r="B43" s="69" t="s">
        <v>50</v>
      </c>
      <c r="C43" s="69" t="s">
        <v>51</v>
      </c>
      <c r="D43" s="69" t="s">
        <v>52</v>
      </c>
      <c r="E43" s="69" t="s">
        <v>53</v>
      </c>
      <c r="F43" s="69" t="s">
        <v>54</v>
      </c>
      <c r="G43" s="69" t="s">
        <v>55</v>
      </c>
      <c r="H43" s="69" t="s">
        <v>56</v>
      </c>
      <c r="I43" s="69" t="s">
        <v>57</v>
      </c>
      <c r="J43" s="70"/>
      <c r="K43" s="70"/>
      <c r="L43" s="71"/>
      <c r="M43" s="71"/>
      <c r="N43" s="71"/>
    </row>
    <row r="44" spans="1:14" ht="9.75" customHeight="1" x14ac:dyDescent="0.3">
      <c r="A44" s="68" t="s">
        <v>148</v>
      </c>
      <c r="B44" s="72">
        <v>34</v>
      </c>
      <c r="C44" s="72">
        <v>15</v>
      </c>
      <c r="D44" s="72">
        <v>9</v>
      </c>
      <c r="E44" s="72">
        <v>9</v>
      </c>
      <c r="F44" s="72"/>
      <c r="G44" s="72"/>
      <c r="H44" s="72"/>
      <c r="I44" s="72"/>
      <c r="J44" s="73"/>
      <c r="K44" s="73"/>
      <c r="L44" s="71"/>
      <c r="M44" s="71"/>
      <c r="N44" s="71"/>
    </row>
    <row r="45" spans="1:14" s="77" customFormat="1" ht="8.25" customHeight="1" x14ac:dyDescent="0.3">
      <c r="A45" s="74"/>
      <c r="B45" s="75" t="s">
        <v>140</v>
      </c>
      <c r="C45" s="75" t="s">
        <v>141</v>
      </c>
      <c r="D45" s="75" t="s">
        <v>142</v>
      </c>
      <c r="E45" s="75" t="s">
        <v>143</v>
      </c>
      <c r="F45" s="75" t="s">
        <v>144</v>
      </c>
      <c r="G45" s="75" t="s">
        <v>145</v>
      </c>
      <c r="H45" s="75" t="s">
        <v>65</v>
      </c>
      <c r="I45" s="75" t="s">
        <v>66</v>
      </c>
      <c r="J45" s="76"/>
      <c r="K45" s="76"/>
      <c r="L45" s="76"/>
      <c r="M45" s="76"/>
      <c r="N45" s="76"/>
    </row>
    <row r="46" spans="1:14" ht="5.25" customHeight="1" x14ac:dyDescent="0.3">
      <c r="A46" s="78"/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</row>
    <row r="47" spans="1:14" ht="9.75" customHeight="1" x14ac:dyDescent="0.3">
      <c r="A47" s="565">
        <v>2019</v>
      </c>
      <c r="B47" s="36" t="s">
        <v>36</v>
      </c>
      <c r="C47" s="36" t="s">
        <v>37</v>
      </c>
      <c r="D47" s="37" t="s">
        <v>38</v>
      </c>
      <c r="E47" s="37" t="s">
        <v>39</v>
      </c>
      <c r="F47" s="37" t="s">
        <v>40</v>
      </c>
      <c r="G47" s="36" t="s">
        <v>41</v>
      </c>
      <c r="H47" s="37"/>
      <c r="I47" s="37"/>
      <c r="J47" s="37"/>
      <c r="K47" s="38"/>
      <c r="L47" s="39"/>
      <c r="M47" s="567" t="s">
        <v>44</v>
      </c>
      <c r="N47" s="569" t="s">
        <v>45</v>
      </c>
    </row>
    <row r="48" spans="1:14" ht="9.75" customHeight="1" x14ac:dyDescent="0.3">
      <c r="A48" s="566"/>
      <c r="B48" s="40">
        <v>43542</v>
      </c>
      <c r="C48" s="40">
        <v>43662</v>
      </c>
      <c r="D48" s="40">
        <v>43729</v>
      </c>
      <c r="E48" s="40">
        <v>43751</v>
      </c>
      <c r="F48" s="40">
        <v>43771</v>
      </c>
      <c r="G48" s="40">
        <v>43799</v>
      </c>
      <c r="H48" s="40"/>
      <c r="I48" s="40"/>
      <c r="J48" s="41"/>
      <c r="K48" s="42"/>
      <c r="L48" s="43"/>
      <c r="M48" s="568"/>
      <c r="N48" s="570"/>
    </row>
    <row r="49" spans="1:14" ht="9.75" customHeight="1" x14ac:dyDescent="0.3">
      <c r="A49" s="44" t="s">
        <v>10</v>
      </c>
      <c r="B49" s="45">
        <v>20</v>
      </c>
      <c r="C49" s="45">
        <v>23</v>
      </c>
      <c r="D49" s="45">
        <v>28</v>
      </c>
      <c r="E49" s="45">
        <v>5</v>
      </c>
      <c r="F49" s="45">
        <v>14</v>
      </c>
      <c r="G49" s="45">
        <v>30</v>
      </c>
      <c r="H49" s="46"/>
      <c r="I49" s="46"/>
      <c r="J49" s="47"/>
      <c r="K49" s="48"/>
      <c r="L49" s="49"/>
      <c r="M49" s="46" t="s">
        <v>138</v>
      </c>
      <c r="N49" s="50">
        <f>SUM(B49:G49)/6</f>
        <v>20</v>
      </c>
    </row>
    <row r="50" spans="1:14" ht="9.75" customHeight="1" x14ac:dyDescent="0.3">
      <c r="A50" s="44" t="s">
        <v>46</v>
      </c>
      <c r="B50" s="45">
        <v>8</v>
      </c>
      <c r="C50" s="45">
        <v>9</v>
      </c>
      <c r="D50" s="45">
        <v>8</v>
      </c>
      <c r="E50" s="45">
        <v>21</v>
      </c>
      <c r="F50" s="45">
        <v>11</v>
      </c>
      <c r="G50" s="45">
        <v>40</v>
      </c>
      <c r="H50" s="46"/>
      <c r="I50" s="46"/>
      <c r="J50" s="40"/>
      <c r="K50" s="48"/>
      <c r="L50" s="51"/>
      <c r="M50" s="52" t="s">
        <v>139</v>
      </c>
      <c r="N50" s="50">
        <f>SUM(B50:G50)/6</f>
        <v>16.166666666666668</v>
      </c>
    </row>
    <row r="51" spans="1:14" ht="9.75" customHeight="1" thickBot="1" x14ac:dyDescent="0.35">
      <c r="A51" s="44" t="s">
        <v>47</v>
      </c>
      <c r="B51" s="45">
        <v>28</v>
      </c>
      <c r="C51" s="45">
        <v>32</v>
      </c>
      <c r="D51" s="45">
        <v>36</v>
      </c>
      <c r="E51" s="45">
        <v>26</v>
      </c>
      <c r="F51" s="45">
        <v>25</v>
      </c>
      <c r="G51" s="45">
        <v>70</v>
      </c>
      <c r="H51" s="53"/>
      <c r="I51" s="53"/>
      <c r="J51" s="54"/>
      <c r="K51" s="55"/>
      <c r="L51" s="56"/>
      <c r="M51" s="57" t="s">
        <v>48</v>
      </c>
      <c r="N51" s="50">
        <f>SUM(B51:G51)/6</f>
        <v>36.166666666666664</v>
      </c>
    </row>
    <row r="52" spans="1:14" ht="9.75" customHeight="1" thickBot="1" x14ac:dyDescent="0.35">
      <c r="A52" s="58" t="s">
        <v>13</v>
      </c>
      <c r="B52" s="45">
        <v>24</v>
      </c>
      <c r="C52" s="45">
        <v>20</v>
      </c>
      <c r="D52" s="45">
        <v>22</v>
      </c>
      <c r="E52" s="45">
        <v>19</v>
      </c>
      <c r="F52" s="45">
        <v>20</v>
      </c>
      <c r="G52" s="45">
        <v>32</v>
      </c>
      <c r="H52" s="59"/>
      <c r="I52" s="59"/>
      <c r="J52" s="40"/>
      <c r="K52" s="48"/>
      <c r="L52" s="60"/>
      <c r="M52" s="61">
        <v>2.57</v>
      </c>
      <c r="N52" s="50">
        <f>SUM(B52:G52)/6</f>
        <v>22.833333333333332</v>
      </c>
    </row>
    <row r="53" spans="1:14" ht="9.75" customHeight="1" x14ac:dyDescent="0.3">
      <c r="A53" s="62" t="s">
        <v>15</v>
      </c>
      <c r="B53" s="63">
        <v>28</v>
      </c>
      <c r="C53" s="63">
        <v>31</v>
      </c>
      <c r="D53" s="63">
        <v>30</v>
      </c>
      <c r="E53" s="63">
        <v>25</v>
      </c>
      <c r="F53" s="63">
        <v>23</v>
      </c>
      <c r="G53" s="63">
        <v>46</v>
      </c>
      <c r="H53" s="63"/>
      <c r="I53" s="63"/>
      <c r="J53" s="64"/>
      <c r="K53" s="65"/>
      <c r="L53" s="66"/>
      <c r="M53" s="67">
        <f>SUM(B53,C53,D53,E53,F53,G53)/6</f>
        <v>30.5</v>
      </c>
      <c r="N53" s="50">
        <f>SUM(B53:G53)/6</f>
        <v>30.5</v>
      </c>
    </row>
    <row r="54" spans="1:14" ht="9.75" customHeight="1" x14ac:dyDescent="0.3">
      <c r="A54" s="68" t="s">
        <v>49</v>
      </c>
      <c r="B54" s="69" t="s">
        <v>50</v>
      </c>
      <c r="C54" s="69" t="s">
        <v>51</v>
      </c>
      <c r="D54" s="69" t="s">
        <v>52</v>
      </c>
      <c r="E54" s="69" t="s">
        <v>53</v>
      </c>
      <c r="F54" s="69" t="s">
        <v>54</v>
      </c>
      <c r="G54" s="69" t="s">
        <v>55</v>
      </c>
      <c r="H54" s="69" t="s">
        <v>56</v>
      </c>
      <c r="I54" s="69" t="s">
        <v>57</v>
      </c>
      <c r="J54" s="70"/>
      <c r="K54" s="70"/>
      <c r="L54" s="71"/>
      <c r="M54" s="71"/>
      <c r="N54" s="71"/>
    </row>
    <row r="55" spans="1:14" ht="9.75" customHeight="1" x14ac:dyDescent="0.3">
      <c r="A55" s="68" t="s">
        <v>58</v>
      </c>
      <c r="B55" s="72">
        <v>19</v>
      </c>
      <c r="C55" s="72">
        <v>15</v>
      </c>
      <c r="D55" s="72">
        <v>9</v>
      </c>
      <c r="E55" s="72">
        <v>6</v>
      </c>
      <c r="F55" s="72">
        <v>5</v>
      </c>
      <c r="G55" s="72">
        <v>4</v>
      </c>
      <c r="H55" s="72"/>
      <c r="I55" s="72"/>
      <c r="J55" s="73"/>
      <c r="K55" s="73"/>
      <c r="L55" s="71"/>
      <c r="M55" s="71"/>
      <c r="N55" s="71"/>
    </row>
    <row r="56" spans="1:14" s="77" customFormat="1" ht="8.25" customHeight="1" x14ac:dyDescent="0.3">
      <c r="A56" s="74"/>
      <c r="B56" s="75" t="s">
        <v>59</v>
      </c>
      <c r="C56" s="75" t="s">
        <v>60</v>
      </c>
      <c r="D56" s="75" t="s">
        <v>61</v>
      </c>
      <c r="E56" s="75" t="s">
        <v>62</v>
      </c>
      <c r="F56" s="75" t="s">
        <v>63</v>
      </c>
      <c r="G56" s="75" t="s">
        <v>64</v>
      </c>
      <c r="H56" s="75" t="s">
        <v>65</v>
      </c>
      <c r="I56" s="75" t="s">
        <v>66</v>
      </c>
      <c r="J56" s="76"/>
      <c r="K56" s="76"/>
      <c r="L56" s="76"/>
      <c r="M56" s="76"/>
      <c r="N56" s="76"/>
    </row>
    <row r="57" spans="1:14" ht="5.25" customHeight="1" x14ac:dyDescent="0.3">
      <c r="A57" s="78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</row>
    <row r="58" spans="1:14" ht="9.75" customHeight="1" x14ac:dyDescent="0.3">
      <c r="A58" s="565">
        <v>2018</v>
      </c>
      <c r="B58" s="37" t="s">
        <v>67</v>
      </c>
      <c r="C58" s="36" t="s">
        <v>68</v>
      </c>
      <c r="D58" s="37" t="s">
        <v>69</v>
      </c>
      <c r="E58" s="37" t="s">
        <v>70</v>
      </c>
      <c r="F58" s="37"/>
      <c r="G58" s="37"/>
      <c r="H58" s="37"/>
      <c r="I58" s="37"/>
      <c r="J58" s="37"/>
      <c r="K58" s="38"/>
      <c r="L58" s="39"/>
      <c r="M58" s="567" t="s">
        <v>44</v>
      </c>
      <c r="N58" s="569" t="s">
        <v>45</v>
      </c>
    </row>
    <row r="59" spans="1:14" ht="9.75" customHeight="1" x14ac:dyDescent="0.3">
      <c r="A59" s="566"/>
      <c r="B59" s="40">
        <v>43141</v>
      </c>
      <c r="C59" s="40">
        <v>43268</v>
      </c>
      <c r="D59" s="40">
        <v>43309</v>
      </c>
      <c r="E59" s="40">
        <v>43435</v>
      </c>
      <c r="F59" s="40"/>
      <c r="G59" s="40"/>
      <c r="H59" s="40"/>
      <c r="I59" s="40"/>
      <c r="J59" s="41"/>
      <c r="K59" s="42"/>
      <c r="L59" s="43"/>
      <c r="M59" s="568"/>
      <c r="N59" s="570"/>
    </row>
    <row r="60" spans="1:14" ht="9.75" customHeight="1" x14ac:dyDescent="0.3">
      <c r="A60" s="44" t="s">
        <v>10</v>
      </c>
      <c r="B60" s="45">
        <v>24</v>
      </c>
      <c r="C60" s="45">
        <v>21</v>
      </c>
      <c r="D60" s="45">
        <v>22</v>
      </c>
      <c r="E60" s="45">
        <v>30</v>
      </c>
      <c r="F60" s="45"/>
      <c r="G60" s="45"/>
      <c r="H60" s="46"/>
      <c r="I60" s="46"/>
      <c r="J60" s="47"/>
      <c r="K60" s="48"/>
      <c r="L60" s="49"/>
      <c r="M60" s="46" t="s">
        <v>71</v>
      </c>
      <c r="N60" s="50">
        <f>SUM(B60:F60)/4</f>
        <v>24.25</v>
      </c>
    </row>
    <row r="61" spans="1:14" ht="9.75" customHeight="1" x14ac:dyDescent="0.3">
      <c r="A61" s="44" t="s">
        <v>46</v>
      </c>
      <c r="B61" s="45">
        <v>18</v>
      </c>
      <c r="C61" s="45">
        <v>9</v>
      </c>
      <c r="D61" s="45">
        <v>7</v>
      </c>
      <c r="E61" s="45">
        <v>43</v>
      </c>
      <c r="F61" s="45"/>
      <c r="G61" s="45"/>
      <c r="H61" s="46"/>
      <c r="I61" s="46"/>
      <c r="J61" s="40"/>
      <c r="K61" s="48"/>
      <c r="L61" s="51"/>
      <c r="M61" s="52" t="s">
        <v>72</v>
      </c>
      <c r="N61" s="50">
        <f>SUM(B61:F61)/4</f>
        <v>19.25</v>
      </c>
    </row>
    <row r="62" spans="1:14" ht="9.75" customHeight="1" thickBot="1" x14ac:dyDescent="0.35">
      <c r="A62" s="44" t="s">
        <v>47</v>
      </c>
      <c r="B62" s="45">
        <v>42</v>
      </c>
      <c r="C62" s="45">
        <v>30</v>
      </c>
      <c r="D62" s="45">
        <v>29</v>
      </c>
      <c r="E62" s="45">
        <v>73</v>
      </c>
      <c r="F62" s="80"/>
      <c r="G62" s="45"/>
      <c r="H62" s="53"/>
      <c r="I62" s="53"/>
      <c r="J62" s="54"/>
      <c r="K62" s="55"/>
      <c r="L62" s="56"/>
      <c r="M62" s="57" t="s">
        <v>73</v>
      </c>
      <c r="N62" s="50">
        <f>SUM(B62:F62)/4</f>
        <v>43.5</v>
      </c>
    </row>
    <row r="63" spans="1:14" ht="9.75" customHeight="1" thickBot="1" x14ac:dyDescent="0.35">
      <c r="A63" s="58" t="s">
        <v>13</v>
      </c>
      <c r="B63" s="45">
        <v>25</v>
      </c>
      <c r="C63" s="45">
        <v>24</v>
      </c>
      <c r="D63" s="45">
        <v>24</v>
      </c>
      <c r="E63" s="45">
        <v>42</v>
      </c>
      <c r="F63" s="81"/>
      <c r="G63" s="81"/>
      <c r="H63" s="59"/>
      <c r="I63" s="59"/>
      <c r="J63" s="40"/>
      <c r="K63" s="48"/>
      <c r="L63" s="60"/>
      <c r="M63" s="61">
        <v>2.06</v>
      </c>
      <c r="N63" s="50">
        <f>SUM(B63:F63)/4</f>
        <v>28.75</v>
      </c>
    </row>
    <row r="64" spans="1:14" ht="9.75" customHeight="1" x14ac:dyDescent="0.3">
      <c r="A64" s="62" t="s">
        <v>15</v>
      </c>
      <c r="B64" s="63">
        <v>36</v>
      </c>
      <c r="C64" s="63">
        <v>30</v>
      </c>
      <c r="D64" s="63">
        <v>40</v>
      </c>
      <c r="E64" s="63">
        <v>26</v>
      </c>
      <c r="F64" s="82"/>
      <c r="G64" s="63"/>
      <c r="H64" s="63"/>
      <c r="I64" s="63"/>
      <c r="J64" s="64"/>
      <c r="K64" s="65"/>
      <c r="L64" s="66"/>
      <c r="M64" s="67">
        <f>SUM(B64,C64,D64,E64)/4</f>
        <v>33</v>
      </c>
      <c r="N64" s="50">
        <f>SUM(B64:F64)/4</f>
        <v>33</v>
      </c>
    </row>
    <row r="65" spans="1:14" ht="9.75" customHeight="1" x14ac:dyDescent="0.3">
      <c r="A65" s="68" t="s">
        <v>49</v>
      </c>
      <c r="B65" s="69" t="s">
        <v>50</v>
      </c>
      <c r="C65" s="69" t="s">
        <v>51</v>
      </c>
      <c r="D65" s="69" t="s">
        <v>52</v>
      </c>
      <c r="E65" s="69" t="s">
        <v>53</v>
      </c>
      <c r="F65" s="69" t="s">
        <v>54</v>
      </c>
      <c r="G65" s="69" t="s">
        <v>55</v>
      </c>
      <c r="H65" s="69" t="s">
        <v>56</v>
      </c>
      <c r="I65" s="69" t="s">
        <v>57</v>
      </c>
      <c r="J65" s="70"/>
      <c r="K65" s="70"/>
      <c r="L65" s="71"/>
      <c r="M65" s="71"/>
      <c r="N65" s="71"/>
    </row>
    <row r="66" spans="1:14" ht="9.75" customHeight="1" x14ac:dyDescent="0.3">
      <c r="A66" s="68" t="s">
        <v>74</v>
      </c>
      <c r="B66" s="72">
        <v>21</v>
      </c>
      <c r="C66" s="72">
        <v>15</v>
      </c>
      <c r="D66" s="72">
        <v>8</v>
      </c>
      <c r="E66" s="72">
        <v>8</v>
      </c>
      <c r="F66" s="72"/>
      <c r="G66" s="72"/>
      <c r="H66" s="72"/>
      <c r="I66" s="72"/>
      <c r="J66" s="73"/>
      <c r="K66" s="73"/>
      <c r="L66" s="71"/>
      <c r="M66" s="71"/>
      <c r="N66" s="71"/>
    </row>
    <row r="67" spans="1:14" s="77" customFormat="1" ht="8.25" customHeight="1" x14ac:dyDescent="0.3">
      <c r="A67" s="74"/>
      <c r="B67" s="75" t="s">
        <v>59</v>
      </c>
      <c r="C67" s="75" t="s">
        <v>75</v>
      </c>
      <c r="D67" s="75" t="s">
        <v>76</v>
      </c>
      <c r="E67" s="75" t="s">
        <v>77</v>
      </c>
      <c r="F67" s="75" t="s">
        <v>78</v>
      </c>
      <c r="G67" s="75" t="s">
        <v>79</v>
      </c>
      <c r="H67" s="75" t="s">
        <v>80</v>
      </c>
      <c r="I67" s="75" t="s">
        <v>81</v>
      </c>
      <c r="J67" s="76"/>
      <c r="K67" s="76"/>
      <c r="L67" s="76"/>
      <c r="M67" s="76"/>
      <c r="N67" s="76"/>
    </row>
    <row r="68" spans="1:14" ht="5.25" customHeight="1" x14ac:dyDescent="0.3">
      <c r="A68" s="78"/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</row>
    <row r="69" spans="1:14" ht="9.75" customHeight="1" x14ac:dyDescent="0.3">
      <c r="A69" s="565">
        <v>2017</v>
      </c>
      <c r="B69" s="37" t="s">
        <v>82</v>
      </c>
      <c r="C69" s="36" t="s">
        <v>83</v>
      </c>
      <c r="D69" s="36" t="s">
        <v>84</v>
      </c>
      <c r="E69" s="36" t="s">
        <v>85</v>
      </c>
      <c r="F69" s="36" t="s">
        <v>86</v>
      </c>
      <c r="G69" s="37"/>
      <c r="H69" s="37"/>
      <c r="I69" s="37"/>
      <c r="J69" s="37"/>
      <c r="K69" s="38"/>
      <c r="L69" s="39"/>
      <c r="M69" s="567" t="s">
        <v>44</v>
      </c>
      <c r="N69" s="569" t="s">
        <v>45</v>
      </c>
    </row>
    <row r="70" spans="1:14" ht="9.75" customHeight="1" x14ac:dyDescent="0.3">
      <c r="A70" s="566"/>
      <c r="B70" s="40">
        <v>42106</v>
      </c>
      <c r="C70" s="40">
        <v>42107</v>
      </c>
      <c r="D70" s="40">
        <v>42108</v>
      </c>
      <c r="E70" s="40">
        <v>42109</v>
      </c>
      <c r="F70" s="40">
        <v>42110</v>
      </c>
      <c r="G70" s="40"/>
      <c r="H70" s="40"/>
      <c r="I70" s="40"/>
      <c r="J70" s="41"/>
      <c r="K70" s="42"/>
      <c r="L70" s="43"/>
      <c r="M70" s="568"/>
      <c r="N70" s="570"/>
    </row>
    <row r="71" spans="1:14" ht="9.75" customHeight="1" x14ac:dyDescent="0.3">
      <c r="A71" s="44" t="s">
        <v>10</v>
      </c>
      <c r="B71" s="45">
        <v>32</v>
      </c>
      <c r="C71" s="45">
        <v>28</v>
      </c>
      <c r="D71" s="45">
        <v>30</v>
      </c>
      <c r="E71" s="45">
        <v>27</v>
      </c>
      <c r="F71" s="45">
        <v>26</v>
      </c>
      <c r="G71" s="45"/>
      <c r="H71" s="46"/>
      <c r="I71" s="46"/>
      <c r="J71" s="47"/>
      <c r="K71" s="48"/>
      <c r="L71" s="49"/>
      <c r="M71" s="46" t="s">
        <v>87</v>
      </c>
      <c r="N71" s="50">
        <f>SUM(B71:F71)/5</f>
        <v>28.6</v>
      </c>
    </row>
    <row r="72" spans="1:14" ht="9.75" customHeight="1" x14ac:dyDescent="0.3">
      <c r="A72" s="44" t="s">
        <v>46</v>
      </c>
      <c r="B72" s="45">
        <v>32</v>
      </c>
      <c r="C72" s="45">
        <v>4</v>
      </c>
      <c r="D72" s="45">
        <v>11</v>
      </c>
      <c r="E72" s="45">
        <v>1</v>
      </c>
      <c r="F72" s="45">
        <v>5</v>
      </c>
      <c r="G72" s="45"/>
      <c r="H72" s="46"/>
      <c r="I72" s="46"/>
      <c r="J72" s="40"/>
      <c r="K72" s="48"/>
      <c r="L72" s="51"/>
      <c r="M72" s="52" t="s">
        <v>88</v>
      </c>
      <c r="N72" s="50">
        <f>SUM(B72:F72)/5</f>
        <v>10.6</v>
      </c>
    </row>
    <row r="73" spans="1:14" ht="9.75" customHeight="1" thickBot="1" x14ac:dyDescent="0.35">
      <c r="A73" s="44" t="s">
        <v>47</v>
      </c>
      <c r="B73" s="80">
        <v>39</v>
      </c>
      <c r="C73" s="80">
        <v>32</v>
      </c>
      <c r="D73" s="80">
        <v>41</v>
      </c>
      <c r="E73" s="80">
        <v>28</v>
      </c>
      <c r="F73" s="80">
        <v>31</v>
      </c>
      <c r="G73" s="45"/>
      <c r="H73" s="53"/>
      <c r="I73" s="53"/>
      <c r="J73" s="54"/>
      <c r="K73" s="55"/>
      <c r="L73" s="56"/>
      <c r="M73" s="57" t="s">
        <v>48</v>
      </c>
      <c r="N73" s="50">
        <f>SUM(B73:F73)/5</f>
        <v>34.200000000000003</v>
      </c>
    </row>
    <row r="74" spans="1:14" ht="9.75" customHeight="1" x14ac:dyDescent="0.3">
      <c r="A74" s="58" t="s">
        <v>13</v>
      </c>
      <c r="B74" s="81">
        <v>5</v>
      </c>
      <c r="C74" s="81">
        <v>28</v>
      </c>
      <c r="D74" s="81">
        <v>32</v>
      </c>
      <c r="E74" s="81">
        <v>20</v>
      </c>
      <c r="F74" s="81">
        <v>28</v>
      </c>
      <c r="G74" s="81"/>
      <c r="H74" s="59"/>
      <c r="I74" s="59"/>
      <c r="J74" s="41"/>
      <c r="K74" s="42"/>
      <c r="L74" s="60"/>
      <c r="M74" s="83">
        <v>2.7</v>
      </c>
      <c r="N74" s="50">
        <f>SUM(B74:F74)/5</f>
        <v>22.6</v>
      </c>
    </row>
    <row r="75" spans="1:14" ht="9.75" customHeight="1" x14ac:dyDescent="0.3">
      <c r="A75" s="62" t="s">
        <v>15</v>
      </c>
      <c r="B75" s="82">
        <v>36</v>
      </c>
      <c r="C75" s="82">
        <v>30</v>
      </c>
      <c r="D75" s="82">
        <v>40</v>
      </c>
      <c r="E75" s="82">
        <v>26</v>
      </c>
      <c r="F75" s="82">
        <v>31</v>
      </c>
      <c r="G75" s="63"/>
      <c r="H75" s="63"/>
      <c r="I75" s="63"/>
      <c r="J75" s="64"/>
      <c r="K75" s="65"/>
      <c r="L75" s="66"/>
      <c r="M75" s="84">
        <f>SUM(B75,C75,D75,E75,F75)/5</f>
        <v>32.6</v>
      </c>
      <c r="N75" s="50">
        <f>SUM(B75:F75)/5</f>
        <v>32.6</v>
      </c>
    </row>
    <row r="76" spans="1:14" ht="9.75" customHeight="1" x14ac:dyDescent="0.3">
      <c r="A76" s="68" t="s">
        <v>49</v>
      </c>
      <c r="B76" s="69" t="s">
        <v>50</v>
      </c>
      <c r="C76" s="69" t="s">
        <v>51</v>
      </c>
      <c r="D76" s="69" t="s">
        <v>52</v>
      </c>
      <c r="E76" s="69" t="s">
        <v>53</v>
      </c>
      <c r="F76" s="69" t="s">
        <v>54</v>
      </c>
      <c r="G76" s="69" t="s">
        <v>55</v>
      </c>
      <c r="H76" s="69" t="s">
        <v>56</v>
      </c>
      <c r="I76" s="69" t="s">
        <v>57</v>
      </c>
      <c r="J76" s="70"/>
      <c r="K76" s="70"/>
      <c r="L76" s="71"/>
      <c r="M76" s="71"/>
      <c r="N76" s="71"/>
    </row>
    <row r="77" spans="1:14" ht="9.75" customHeight="1" x14ac:dyDescent="0.3">
      <c r="A77" s="68" t="s">
        <v>89</v>
      </c>
      <c r="B77" s="72">
        <v>12</v>
      </c>
      <c r="C77" s="72">
        <v>12</v>
      </c>
      <c r="D77" s="72">
        <v>10</v>
      </c>
      <c r="E77" s="72">
        <v>15</v>
      </c>
      <c r="F77" s="72"/>
      <c r="G77" s="72"/>
      <c r="H77" s="72"/>
      <c r="I77" s="72"/>
      <c r="J77" s="73"/>
      <c r="K77" s="73"/>
      <c r="L77" s="71"/>
      <c r="M77" s="71"/>
      <c r="N77" s="71"/>
    </row>
    <row r="78" spans="1:14" s="77" customFormat="1" ht="8.25" customHeight="1" x14ac:dyDescent="0.3">
      <c r="A78" s="74"/>
      <c r="B78" s="75" t="s">
        <v>90</v>
      </c>
      <c r="C78" s="75" t="s">
        <v>91</v>
      </c>
      <c r="D78" s="75" t="s">
        <v>92</v>
      </c>
      <c r="E78" s="75" t="s">
        <v>93</v>
      </c>
      <c r="F78" s="75" t="s">
        <v>94</v>
      </c>
      <c r="G78" s="75" t="s">
        <v>95</v>
      </c>
      <c r="H78" s="75" t="s">
        <v>96</v>
      </c>
      <c r="I78" s="75" t="s">
        <v>97</v>
      </c>
      <c r="J78" s="76"/>
      <c r="K78" s="76"/>
      <c r="L78" s="76"/>
      <c r="M78" s="76"/>
      <c r="N78" s="76"/>
    </row>
    <row r="79" spans="1:14" ht="5.25" customHeight="1" x14ac:dyDescent="0.3">
      <c r="A79" s="78"/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</row>
    <row r="80" spans="1:14" ht="9.75" customHeight="1" x14ac:dyDescent="0.3">
      <c r="A80" s="565">
        <v>2016</v>
      </c>
      <c r="B80" s="37" t="s">
        <v>98</v>
      </c>
      <c r="C80" s="37" t="s">
        <v>99</v>
      </c>
      <c r="D80" s="37" t="s">
        <v>100</v>
      </c>
      <c r="E80" s="37" t="s">
        <v>101</v>
      </c>
      <c r="F80" s="37"/>
      <c r="G80" s="37"/>
      <c r="H80" s="37"/>
      <c r="I80" s="37"/>
      <c r="J80" s="37" t="s">
        <v>102</v>
      </c>
      <c r="K80" s="38">
        <v>6</v>
      </c>
      <c r="L80" s="39"/>
      <c r="M80" s="567" t="s">
        <v>44</v>
      </c>
      <c r="N80" s="569" t="s">
        <v>45</v>
      </c>
    </row>
    <row r="81" spans="1:14" ht="9.75" customHeight="1" x14ac:dyDescent="0.3">
      <c r="A81" s="566"/>
      <c r="B81" s="40">
        <v>42106</v>
      </c>
      <c r="C81" s="40">
        <v>42134</v>
      </c>
      <c r="D81" s="40">
        <v>42182</v>
      </c>
      <c r="E81" s="40">
        <v>42259</v>
      </c>
      <c r="F81" s="40"/>
      <c r="G81" s="40"/>
      <c r="H81" s="40"/>
      <c r="I81" s="40"/>
      <c r="J81" s="41" t="s">
        <v>103</v>
      </c>
      <c r="K81" s="42">
        <v>16</v>
      </c>
      <c r="L81" s="43"/>
      <c r="M81" s="568"/>
      <c r="N81" s="570"/>
    </row>
    <row r="82" spans="1:14" ht="9.75" customHeight="1" x14ac:dyDescent="0.3">
      <c r="A82" s="44" t="s">
        <v>10</v>
      </c>
      <c r="B82" s="45">
        <v>37</v>
      </c>
      <c r="C82" s="45">
        <v>24</v>
      </c>
      <c r="D82" s="45">
        <v>31</v>
      </c>
      <c r="E82" s="45">
        <v>37</v>
      </c>
      <c r="F82" s="45"/>
      <c r="G82" s="45"/>
      <c r="H82" s="46"/>
      <c r="I82" s="46"/>
      <c r="J82" s="47" t="s">
        <v>104</v>
      </c>
      <c r="K82" s="48">
        <v>11</v>
      </c>
      <c r="L82" s="49"/>
      <c r="M82" s="46" t="s">
        <v>105</v>
      </c>
      <c r="N82" s="50">
        <f>SUM(B82:E82)/4</f>
        <v>32.25</v>
      </c>
    </row>
    <row r="83" spans="1:14" ht="9.75" customHeight="1" x14ac:dyDescent="0.3">
      <c r="A83" s="44" t="s">
        <v>46</v>
      </c>
      <c r="B83" s="45">
        <v>8</v>
      </c>
      <c r="C83" s="45">
        <v>3</v>
      </c>
      <c r="D83" s="45">
        <v>6</v>
      </c>
      <c r="E83" s="45">
        <v>10</v>
      </c>
      <c r="F83" s="45"/>
      <c r="G83" s="45"/>
      <c r="H83" s="46"/>
      <c r="I83" s="46"/>
      <c r="J83" s="40" t="s">
        <v>106</v>
      </c>
      <c r="K83" s="48">
        <v>5</v>
      </c>
      <c r="L83" s="51"/>
      <c r="M83" s="52" t="s">
        <v>88</v>
      </c>
      <c r="N83" s="50">
        <f>SUM(B83:E83)/4</f>
        <v>6.75</v>
      </c>
    </row>
    <row r="84" spans="1:14" ht="9.75" customHeight="1" thickBot="1" x14ac:dyDescent="0.35">
      <c r="A84" s="44" t="s">
        <v>47</v>
      </c>
      <c r="B84" s="45">
        <v>45</v>
      </c>
      <c r="C84" s="45">
        <v>27</v>
      </c>
      <c r="D84" s="45">
        <v>37</v>
      </c>
      <c r="E84" s="45">
        <v>47</v>
      </c>
      <c r="F84" s="45"/>
      <c r="G84" s="45"/>
      <c r="H84" s="53"/>
      <c r="I84" s="53"/>
      <c r="J84" s="54" t="s">
        <v>107</v>
      </c>
      <c r="K84" s="55">
        <v>4</v>
      </c>
      <c r="L84" s="56"/>
      <c r="M84" s="57" t="s">
        <v>108</v>
      </c>
      <c r="N84" s="50">
        <f>SUM(B84:E84)/4</f>
        <v>39</v>
      </c>
    </row>
    <row r="85" spans="1:14" ht="9.75" customHeight="1" thickBot="1" x14ac:dyDescent="0.35">
      <c r="A85" s="58" t="s">
        <v>13</v>
      </c>
      <c r="B85" s="45">
        <v>32</v>
      </c>
      <c r="C85" s="45">
        <v>22</v>
      </c>
      <c r="D85" s="45">
        <v>22</v>
      </c>
      <c r="E85" s="45">
        <v>37</v>
      </c>
      <c r="F85" s="81"/>
      <c r="G85" s="81"/>
      <c r="H85" s="59"/>
      <c r="I85" s="59"/>
      <c r="J85" s="40" t="s">
        <v>109</v>
      </c>
      <c r="K85" s="48">
        <v>4</v>
      </c>
      <c r="L85" s="60"/>
      <c r="M85" s="61">
        <v>2.57</v>
      </c>
      <c r="N85" s="50">
        <f>SUM(B85:E85)/4</f>
        <v>28.25</v>
      </c>
    </row>
    <row r="86" spans="1:14" ht="9.75" customHeight="1" x14ac:dyDescent="0.3">
      <c r="A86" s="62" t="s">
        <v>15</v>
      </c>
      <c r="B86" s="63">
        <v>42</v>
      </c>
      <c r="C86" s="63">
        <v>25</v>
      </c>
      <c r="D86" s="63">
        <v>33</v>
      </c>
      <c r="E86" s="63">
        <v>44</v>
      </c>
      <c r="F86" s="63"/>
      <c r="G86" s="63"/>
      <c r="H86" s="63"/>
      <c r="I86" s="63"/>
      <c r="J86" s="64"/>
      <c r="K86" s="65"/>
      <c r="L86" s="66"/>
      <c r="M86" s="67">
        <f>SUM(B86,C86,D86,E86)/4</f>
        <v>36</v>
      </c>
      <c r="N86" s="50">
        <f>SUM(B86:E86)/4</f>
        <v>36</v>
      </c>
    </row>
    <row r="87" spans="1:14" ht="9.75" customHeight="1" x14ac:dyDescent="0.3">
      <c r="A87" s="68" t="s">
        <v>49</v>
      </c>
      <c r="B87" s="69" t="s">
        <v>50</v>
      </c>
      <c r="C87" s="69" t="s">
        <v>51</v>
      </c>
      <c r="D87" s="69" t="s">
        <v>52</v>
      </c>
      <c r="E87" s="69" t="s">
        <v>53</v>
      </c>
      <c r="F87" s="69" t="s">
        <v>54</v>
      </c>
      <c r="G87" s="69" t="s">
        <v>55</v>
      </c>
      <c r="H87" s="69" t="s">
        <v>56</v>
      </c>
      <c r="I87" s="69" t="s">
        <v>57</v>
      </c>
      <c r="J87" s="70"/>
      <c r="K87" s="70"/>
      <c r="L87" s="71"/>
      <c r="M87" s="71"/>
      <c r="N87" s="71"/>
    </row>
    <row r="88" spans="1:14" ht="9.75" customHeight="1" x14ac:dyDescent="0.3">
      <c r="A88" s="68" t="s">
        <v>110</v>
      </c>
      <c r="B88" s="72">
        <v>12</v>
      </c>
      <c r="C88" s="72">
        <v>12</v>
      </c>
      <c r="D88" s="72">
        <v>10</v>
      </c>
      <c r="E88" s="72">
        <v>15</v>
      </c>
      <c r="F88" s="72"/>
      <c r="G88" s="72"/>
      <c r="H88" s="72"/>
      <c r="I88" s="72"/>
      <c r="J88" s="73"/>
      <c r="K88" s="73"/>
      <c r="L88" s="71"/>
      <c r="M88" s="71"/>
      <c r="N88" s="71"/>
    </row>
    <row r="89" spans="1:14" ht="5.25" customHeight="1" x14ac:dyDescent="0.3">
      <c r="A89" s="78"/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</row>
    <row r="90" spans="1:14" ht="9.75" customHeight="1" x14ac:dyDescent="0.3">
      <c r="A90" s="565">
        <v>2015</v>
      </c>
      <c r="B90" s="37" t="s">
        <v>98</v>
      </c>
      <c r="C90" s="37" t="s">
        <v>99</v>
      </c>
      <c r="D90" s="37" t="s">
        <v>100</v>
      </c>
      <c r="E90" s="37" t="s">
        <v>101</v>
      </c>
      <c r="F90" s="37"/>
      <c r="G90" s="37"/>
      <c r="H90" s="37"/>
      <c r="I90" s="37"/>
      <c r="J90" s="37" t="s">
        <v>102</v>
      </c>
      <c r="K90" s="38">
        <v>2</v>
      </c>
      <c r="L90" s="39"/>
      <c r="M90" s="567" t="s">
        <v>44</v>
      </c>
      <c r="N90" s="569" t="s">
        <v>45</v>
      </c>
    </row>
    <row r="91" spans="1:14" ht="9.75" customHeight="1" x14ac:dyDescent="0.3">
      <c r="A91" s="566"/>
      <c r="B91" s="40">
        <v>42106</v>
      </c>
      <c r="C91" s="40">
        <v>42134</v>
      </c>
      <c r="D91" s="40">
        <v>42182</v>
      </c>
      <c r="E91" s="40">
        <v>42259</v>
      </c>
      <c r="F91" s="40"/>
      <c r="G91" s="40"/>
      <c r="H91" s="40"/>
      <c r="I91" s="40"/>
      <c r="J91" s="41" t="s">
        <v>103</v>
      </c>
      <c r="K91" s="42">
        <v>19</v>
      </c>
      <c r="L91" s="43"/>
      <c r="M91" s="568"/>
      <c r="N91" s="570"/>
    </row>
    <row r="92" spans="1:14" ht="9.75" customHeight="1" x14ac:dyDescent="0.3">
      <c r="A92" s="44" t="s">
        <v>10</v>
      </c>
      <c r="B92" s="45">
        <v>35</v>
      </c>
      <c r="C92" s="45">
        <v>35</v>
      </c>
      <c r="D92" s="45">
        <v>23</v>
      </c>
      <c r="E92" s="45">
        <v>28</v>
      </c>
      <c r="F92" s="45"/>
      <c r="G92" s="45"/>
      <c r="H92" s="46"/>
      <c r="I92" s="46"/>
      <c r="J92" s="47" t="s">
        <v>104</v>
      </c>
      <c r="K92" s="48">
        <v>9</v>
      </c>
      <c r="L92" s="49"/>
      <c r="M92" s="46" t="s">
        <v>111</v>
      </c>
      <c r="N92" s="50">
        <f>SUM(B92:E92)/4</f>
        <v>30.25</v>
      </c>
    </row>
    <row r="93" spans="1:14" ht="9.75" customHeight="1" x14ac:dyDescent="0.3">
      <c r="A93" s="44" t="s">
        <v>46</v>
      </c>
      <c r="B93" s="45">
        <v>6</v>
      </c>
      <c r="C93" s="45">
        <v>7</v>
      </c>
      <c r="D93" s="45">
        <v>9</v>
      </c>
      <c r="E93" s="45">
        <v>4</v>
      </c>
      <c r="F93" s="45"/>
      <c r="G93" s="45"/>
      <c r="H93" s="46"/>
      <c r="I93" s="46"/>
      <c r="J93" s="40" t="s">
        <v>106</v>
      </c>
      <c r="K93" s="48">
        <v>6</v>
      </c>
      <c r="L93" s="51"/>
      <c r="M93" s="52" t="s">
        <v>88</v>
      </c>
      <c r="N93" s="50">
        <f>SUM(B93:E93)/4</f>
        <v>6.5</v>
      </c>
    </row>
    <row r="94" spans="1:14" ht="9.75" customHeight="1" thickBot="1" x14ac:dyDescent="0.35">
      <c r="A94" s="44" t="s">
        <v>47</v>
      </c>
      <c r="B94" s="45">
        <v>41</v>
      </c>
      <c r="C94" s="45">
        <v>42</v>
      </c>
      <c r="D94" s="45">
        <v>32</v>
      </c>
      <c r="E94" s="45">
        <v>32</v>
      </c>
      <c r="F94" s="45"/>
      <c r="G94" s="45"/>
      <c r="H94" s="53"/>
      <c r="I94" s="53"/>
      <c r="J94" s="54" t="s">
        <v>107</v>
      </c>
      <c r="K94" s="55">
        <v>4</v>
      </c>
      <c r="L94" s="56"/>
      <c r="M94" s="57" t="s">
        <v>112</v>
      </c>
      <c r="N94" s="50">
        <f>SUM(B94:E94)/4</f>
        <v>36.75</v>
      </c>
    </row>
    <row r="95" spans="1:14" ht="9.75" customHeight="1" thickBot="1" x14ac:dyDescent="0.35">
      <c r="A95" s="58" t="s">
        <v>13</v>
      </c>
      <c r="B95" s="81">
        <v>31</v>
      </c>
      <c r="C95" s="81">
        <v>25</v>
      </c>
      <c r="D95" s="81">
        <v>22</v>
      </c>
      <c r="E95" s="81">
        <v>24</v>
      </c>
      <c r="F95" s="81"/>
      <c r="G95" s="81"/>
      <c r="H95" s="59"/>
      <c r="I95" s="59"/>
      <c r="J95" s="40" t="s">
        <v>109</v>
      </c>
      <c r="K95" s="48">
        <v>14</v>
      </c>
      <c r="L95" s="60"/>
      <c r="M95" s="61">
        <v>2.2400000000000002</v>
      </c>
      <c r="N95" s="50">
        <f>SUM(B95:E95)/4</f>
        <v>25.5</v>
      </c>
    </row>
    <row r="96" spans="1:14" ht="9.75" customHeight="1" x14ac:dyDescent="0.3">
      <c r="A96" s="62" t="s">
        <v>15</v>
      </c>
      <c r="B96" s="63">
        <v>40</v>
      </c>
      <c r="C96" s="63">
        <v>42</v>
      </c>
      <c r="D96" s="63">
        <v>32</v>
      </c>
      <c r="E96" s="63">
        <v>32</v>
      </c>
      <c r="F96" s="63"/>
      <c r="G96" s="63"/>
      <c r="H96" s="63"/>
      <c r="I96" s="63"/>
      <c r="J96" s="64"/>
      <c r="K96" s="65"/>
      <c r="L96" s="66"/>
      <c r="M96" s="67">
        <f>SUM(B96,C96,D96,E96)/4</f>
        <v>36.5</v>
      </c>
      <c r="N96" s="50">
        <f>SUM(B96:E96)/4</f>
        <v>36.5</v>
      </c>
    </row>
    <row r="97" spans="1:14" ht="9.75" customHeight="1" x14ac:dyDescent="0.3">
      <c r="A97" s="68" t="s">
        <v>49</v>
      </c>
      <c r="B97" s="69" t="s">
        <v>50</v>
      </c>
      <c r="C97" s="69" t="s">
        <v>51</v>
      </c>
      <c r="D97" s="69" t="s">
        <v>52</v>
      </c>
      <c r="E97" s="69" t="s">
        <v>53</v>
      </c>
      <c r="F97" s="69" t="s">
        <v>54</v>
      </c>
      <c r="G97" s="69" t="s">
        <v>55</v>
      </c>
      <c r="H97" s="69" t="s">
        <v>56</v>
      </c>
      <c r="I97" s="69" t="s">
        <v>57</v>
      </c>
      <c r="J97" s="70"/>
      <c r="K97" s="70"/>
      <c r="L97" s="71"/>
      <c r="M97" s="71"/>
      <c r="N97" s="71"/>
    </row>
    <row r="98" spans="1:14" ht="9.75" customHeight="1" x14ac:dyDescent="0.3">
      <c r="A98" s="68" t="s">
        <v>113</v>
      </c>
      <c r="B98" s="72">
        <v>23</v>
      </c>
      <c r="C98" s="72">
        <v>10</v>
      </c>
      <c r="D98" s="72">
        <v>8</v>
      </c>
      <c r="E98" s="72">
        <v>14</v>
      </c>
      <c r="F98" s="72"/>
      <c r="G98" s="72"/>
      <c r="H98" s="72"/>
      <c r="I98" s="72"/>
      <c r="J98" s="73"/>
      <c r="K98" s="73"/>
      <c r="L98" s="71"/>
      <c r="M98" s="71"/>
      <c r="N98" s="71"/>
    </row>
    <row r="99" spans="1:14" ht="5.25" customHeight="1" x14ac:dyDescent="0.3">
      <c r="A99" s="78"/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</row>
    <row r="100" spans="1:14" ht="9.75" customHeight="1" x14ac:dyDescent="0.3">
      <c r="A100" s="565">
        <v>2014</v>
      </c>
      <c r="B100" s="37" t="s">
        <v>114</v>
      </c>
      <c r="C100" s="37" t="s">
        <v>98</v>
      </c>
      <c r="D100" s="37" t="s">
        <v>115</v>
      </c>
      <c r="E100" s="37" t="s">
        <v>116</v>
      </c>
      <c r="F100" s="37" t="s">
        <v>99</v>
      </c>
      <c r="G100" s="37" t="s">
        <v>117</v>
      </c>
      <c r="H100" s="37" t="s">
        <v>118</v>
      </c>
      <c r="I100" s="37" t="s">
        <v>100</v>
      </c>
      <c r="J100" s="37" t="s">
        <v>102</v>
      </c>
      <c r="K100" s="38">
        <v>7</v>
      </c>
      <c r="L100" s="39"/>
      <c r="M100" s="567" t="s">
        <v>44</v>
      </c>
      <c r="N100" s="569" t="s">
        <v>45</v>
      </c>
    </row>
    <row r="101" spans="1:14" ht="9.75" customHeight="1" x14ac:dyDescent="0.3">
      <c r="A101" s="566"/>
      <c r="B101" s="40">
        <v>41348</v>
      </c>
      <c r="C101" s="40">
        <v>41370</v>
      </c>
      <c r="D101" s="40">
        <v>41425</v>
      </c>
      <c r="E101" s="40">
        <v>41432</v>
      </c>
      <c r="F101" s="40">
        <v>41440</v>
      </c>
      <c r="G101" s="40">
        <v>41530</v>
      </c>
      <c r="H101" s="40">
        <v>41551</v>
      </c>
      <c r="I101" s="40">
        <v>41580</v>
      </c>
      <c r="J101" s="41" t="s">
        <v>103</v>
      </c>
      <c r="K101" s="42">
        <v>13</v>
      </c>
      <c r="L101" s="43"/>
      <c r="M101" s="568"/>
      <c r="N101" s="570"/>
    </row>
    <row r="102" spans="1:14" ht="9.75" customHeight="1" x14ac:dyDescent="0.3">
      <c r="A102" s="44" t="s">
        <v>10</v>
      </c>
      <c r="B102" s="45">
        <v>32</v>
      </c>
      <c r="C102" s="45">
        <v>36</v>
      </c>
      <c r="D102" s="45">
        <v>28</v>
      </c>
      <c r="E102" s="45">
        <v>15</v>
      </c>
      <c r="F102" s="45">
        <v>32</v>
      </c>
      <c r="G102" s="45">
        <v>33</v>
      </c>
      <c r="H102" s="46">
        <v>14</v>
      </c>
      <c r="I102" s="46">
        <v>18</v>
      </c>
      <c r="J102" s="47" t="s">
        <v>104</v>
      </c>
      <c r="K102" s="48">
        <v>15</v>
      </c>
      <c r="L102" s="49"/>
      <c r="M102" s="46" t="s">
        <v>119</v>
      </c>
      <c r="N102" s="50">
        <f>SUM(B102:I102)/8</f>
        <v>26</v>
      </c>
    </row>
    <row r="103" spans="1:14" ht="9.75" customHeight="1" x14ac:dyDescent="0.3">
      <c r="A103" s="44" t="s">
        <v>46</v>
      </c>
      <c r="B103" s="45">
        <v>1</v>
      </c>
      <c r="C103" s="45">
        <v>4</v>
      </c>
      <c r="D103" s="45">
        <v>1</v>
      </c>
      <c r="E103" s="45">
        <v>1</v>
      </c>
      <c r="F103" s="45">
        <v>2</v>
      </c>
      <c r="G103" s="45">
        <v>5</v>
      </c>
      <c r="H103" s="46">
        <v>18</v>
      </c>
      <c r="I103" s="46">
        <v>1</v>
      </c>
      <c r="J103" s="40" t="s">
        <v>106</v>
      </c>
      <c r="K103" s="48">
        <v>3</v>
      </c>
      <c r="L103" s="51"/>
      <c r="M103" s="52" t="s">
        <v>88</v>
      </c>
      <c r="N103" s="50">
        <f>SUM(B103:I103)/8</f>
        <v>4.125</v>
      </c>
    </row>
    <row r="104" spans="1:14" ht="9.75" customHeight="1" thickBot="1" x14ac:dyDescent="0.35">
      <c r="A104" s="44" t="s">
        <v>47</v>
      </c>
      <c r="B104" s="45">
        <v>33</v>
      </c>
      <c r="C104" s="45">
        <v>40</v>
      </c>
      <c r="D104" s="45">
        <v>30</v>
      </c>
      <c r="E104" s="45">
        <v>16</v>
      </c>
      <c r="F104" s="45">
        <v>34</v>
      </c>
      <c r="G104" s="45">
        <v>38</v>
      </c>
      <c r="H104" s="53">
        <v>32</v>
      </c>
      <c r="I104" s="53">
        <v>23</v>
      </c>
      <c r="J104" s="54" t="s">
        <v>107</v>
      </c>
      <c r="K104" s="55">
        <v>6</v>
      </c>
      <c r="L104" s="56"/>
      <c r="M104" s="57" t="s">
        <v>120</v>
      </c>
      <c r="N104" s="50">
        <f>SUM(B104:I104)/8</f>
        <v>30.75</v>
      </c>
    </row>
    <row r="105" spans="1:14" ht="9.75" customHeight="1" thickBot="1" x14ac:dyDescent="0.35">
      <c r="A105" s="58" t="s">
        <v>13</v>
      </c>
      <c r="B105" s="81">
        <v>26</v>
      </c>
      <c r="C105" s="81">
        <v>32</v>
      </c>
      <c r="D105" s="81">
        <v>27</v>
      </c>
      <c r="E105" s="81">
        <v>9</v>
      </c>
      <c r="F105" s="81">
        <v>28</v>
      </c>
      <c r="G105" s="81">
        <v>25</v>
      </c>
      <c r="H105" s="59">
        <v>23</v>
      </c>
      <c r="I105" s="59">
        <v>14</v>
      </c>
      <c r="J105" s="40" t="s">
        <v>109</v>
      </c>
      <c r="K105" s="48">
        <v>19</v>
      </c>
      <c r="L105" s="60"/>
      <c r="M105" s="61">
        <v>2.91</v>
      </c>
      <c r="N105" s="50">
        <f>SUM(B105:I105)/8</f>
        <v>23</v>
      </c>
    </row>
    <row r="106" spans="1:14" ht="9.75" customHeight="1" x14ac:dyDescent="0.3">
      <c r="A106" s="62" t="s">
        <v>15</v>
      </c>
      <c r="B106" s="63">
        <v>31</v>
      </c>
      <c r="C106" s="63">
        <v>40</v>
      </c>
      <c r="D106" s="63">
        <v>29</v>
      </c>
      <c r="E106" s="63">
        <v>16</v>
      </c>
      <c r="F106" s="63">
        <v>33</v>
      </c>
      <c r="G106" s="63">
        <v>38</v>
      </c>
      <c r="H106" s="63">
        <v>27</v>
      </c>
      <c r="I106" s="63">
        <v>19</v>
      </c>
      <c r="J106" s="64"/>
      <c r="K106" s="65"/>
      <c r="L106" s="66"/>
      <c r="M106" s="67">
        <f>SUM(B106,C106,D106,E106,F106,G106,H106,I106)/8</f>
        <v>29.125</v>
      </c>
      <c r="N106" s="50">
        <f>SUM(B106:I106)/8</f>
        <v>29.125</v>
      </c>
    </row>
    <row r="107" spans="1:14" ht="9.75" customHeight="1" x14ac:dyDescent="0.3">
      <c r="A107" s="68" t="s">
        <v>121</v>
      </c>
      <c r="B107" s="69" t="s">
        <v>50</v>
      </c>
      <c r="C107" s="69" t="s">
        <v>51</v>
      </c>
      <c r="D107" s="69" t="s">
        <v>52</v>
      </c>
      <c r="E107" s="69" t="s">
        <v>53</v>
      </c>
      <c r="F107" s="69" t="s">
        <v>54</v>
      </c>
      <c r="G107" s="69" t="s">
        <v>55</v>
      </c>
      <c r="H107" s="69" t="s">
        <v>56</v>
      </c>
      <c r="I107" s="69" t="s">
        <v>57</v>
      </c>
      <c r="J107" s="70"/>
      <c r="K107" s="70"/>
      <c r="L107" s="85"/>
      <c r="M107" s="86"/>
      <c r="N107" s="87"/>
    </row>
    <row r="108" spans="1:14" ht="9.75" customHeight="1" x14ac:dyDescent="0.3">
      <c r="A108" s="68" t="s">
        <v>122</v>
      </c>
      <c r="B108" s="72">
        <v>19</v>
      </c>
      <c r="C108" s="72">
        <v>11</v>
      </c>
      <c r="D108" s="72">
        <v>11</v>
      </c>
      <c r="E108" s="72">
        <v>11</v>
      </c>
      <c r="F108" s="72">
        <v>3</v>
      </c>
      <c r="G108" s="72">
        <v>4</v>
      </c>
      <c r="H108" s="72">
        <v>5</v>
      </c>
      <c r="I108" s="72">
        <v>2</v>
      </c>
      <c r="J108" s="73"/>
      <c r="K108" s="73"/>
      <c r="L108" s="71"/>
      <c r="M108" s="86"/>
      <c r="N108" s="88"/>
    </row>
    <row r="109" spans="1:14" ht="5.25" customHeight="1" x14ac:dyDescent="0.3">
      <c r="A109" s="78"/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</row>
    <row r="110" spans="1:14" ht="9.75" customHeight="1" x14ac:dyDescent="0.3">
      <c r="A110" s="565">
        <v>2013</v>
      </c>
      <c r="B110" s="37" t="s">
        <v>98</v>
      </c>
      <c r="C110" s="37" t="s">
        <v>123</v>
      </c>
      <c r="D110" s="37" t="s">
        <v>116</v>
      </c>
      <c r="E110" s="37" t="s">
        <v>124</v>
      </c>
      <c r="F110" s="37" t="s">
        <v>125</v>
      </c>
      <c r="G110" s="37" t="s">
        <v>126</v>
      </c>
      <c r="H110" s="37" t="s">
        <v>127</v>
      </c>
      <c r="I110" s="89"/>
      <c r="J110" s="90"/>
      <c r="K110" s="90"/>
      <c r="L110" s="91"/>
      <c r="M110" s="567" t="s">
        <v>44</v>
      </c>
      <c r="N110" s="569" t="s">
        <v>45</v>
      </c>
    </row>
    <row r="111" spans="1:14" ht="9.75" customHeight="1" x14ac:dyDescent="0.3">
      <c r="A111" s="566"/>
      <c r="B111" s="40">
        <v>41385</v>
      </c>
      <c r="C111" s="40">
        <v>41399</v>
      </c>
      <c r="D111" s="40">
        <v>41440</v>
      </c>
      <c r="E111" s="40">
        <v>41455</v>
      </c>
      <c r="F111" s="40">
        <v>41524</v>
      </c>
      <c r="G111" s="40">
        <v>41559</v>
      </c>
      <c r="H111" s="40">
        <v>41588</v>
      </c>
      <c r="I111" s="92"/>
      <c r="J111" s="93"/>
      <c r="K111" s="93"/>
      <c r="L111" s="94"/>
      <c r="M111" s="568"/>
      <c r="N111" s="570"/>
    </row>
    <row r="112" spans="1:14" ht="9.75" customHeight="1" x14ac:dyDescent="0.3">
      <c r="A112" s="44" t="s">
        <v>10</v>
      </c>
      <c r="B112" s="45">
        <v>45</v>
      </c>
      <c r="C112" s="45">
        <v>33</v>
      </c>
      <c r="D112" s="45">
        <v>34</v>
      </c>
      <c r="E112" s="45">
        <v>34</v>
      </c>
      <c r="F112" s="45">
        <v>39</v>
      </c>
      <c r="G112" s="45">
        <v>24</v>
      </c>
      <c r="H112" s="46">
        <v>26</v>
      </c>
      <c r="I112" s="52"/>
      <c r="J112" s="95"/>
      <c r="K112" s="95"/>
      <c r="L112" s="96"/>
      <c r="M112" s="46" t="s">
        <v>105</v>
      </c>
      <c r="N112" s="50">
        <f>SUM(B112:H112)/7</f>
        <v>33.571428571428569</v>
      </c>
    </row>
    <row r="113" spans="1:14" ht="9.75" customHeight="1" x14ac:dyDescent="0.3">
      <c r="A113" s="44" t="s">
        <v>46</v>
      </c>
      <c r="B113" s="45">
        <v>4</v>
      </c>
      <c r="C113" s="45">
        <v>3</v>
      </c>
      <c r="D113" s="45">
        <v>9</v>
      </c>
      <c r="E113" s="45">
        <v>5</v>
      </c>
      <c r="F113" s="45">
        <v>11</v>
      </c>
      <c r="G113" s="45">
        <v>2</v>
      </c>
      <c r="H113" s="46">
        <v>6</v>
      </c>
      <c r="I113" s="52"/>
      <c r="J113" s="95"/>
      <c r="K113" s="95"/>
      <c r="L113" s="97"/>
      <c r="M113" s="52" t="s">
        <v>128</v>
      </c>
      <c r="N113" s="50">
        <f>SUM(B113:H113)/7</f>
        <v>5.7142857142857144</v>
      </c>
    </row>
    <row r="114" spans="1:14" ht="9.75" customHeight="1" thickBot="1" x14ac:dyDescent="0.35">
      <c r="A114" s="44" t="s">
        <v>47</v>
      </c>
      <c r="B114" s="45">
        <v>49</v>
      </c>
      <c r="C114" s="45">
        <v>36</v>
      </c>
      <c r="D114" s="45">
        <v>30</v>
      </c>
      <c r="E114" s="45">
        <v>39</v>
      </c>
      <c r="F114" s="45">
        <v>50</v>
      </c>
      <c r="G114" s="45">
        <v>26</v>
      </c>
      <c r="H114" s="53">
        <v>32</v>
      </c>
      <c r="I114" s="98"/>
      <c r="J114" s="99"/>
      <c r="K114" s="99"/>
      <c r="L114" s="100"/>
      <c r="M114" s="57" t="s">
        <v>112</v>
      </c>
      <c r="N114" s="50">
        <f>SUM(B114:H114)/7</f>
        <v>37.428571428571431</v>
      </c>
    </row>
    <row r="115" spans="1:14" ht="9.75" customHeight="1" thickBot="1" x14ac:dyDescent="0.35">
      <c r="A115" s="58" t="s">
        <v>13</v>
      </c>
      <c r="B115" s="81">
        <v>34</v>
      </c>
      <c r="C115" s="81">
        <v>28</v>
      </c>
      <c r="D115" s="81">
        <v>19</v>
      </c>
      <c r="E115" s="81">
        <v>27</v>
      </c>
      <c r="F115" s="81">
        <v>38</v>
      </c>
      <c r="G115" s="81">
        <v>20</v>
      </c>
      <c r="H115" s="59">
        <v>24</v>
      </c>
      <c r="I115" s="101"/>
      <c r="J115" s="102"/>
      <c r="K115" s="103"/>
      <c r="L115" s="104"/>
      <c r="M115" s="61">
        <v>3.48</v>
      </c>
      <c r="N115" s="105">
        <f>SUM(B115:H115)/7</f>
        <v>27.142857142857142</v>
      </c>
    </row>
    <row r="116" spans="1:14" ht="9.75" customHeight="1" x14ac:dyDescent="0.3">
      <c r="A116" s="62" t="s">
        <v>15</v>
      </c>
      <c r="B116" s="63">
        <v>44</v>
      </c>
      <c r="C116" s="63">
        <v>34</v>
      </c>
      <c r="D116" s="63">
        <v>30</v>
      </c>
      <c r="E116" s="63">
        <v>38</v>
      </c>
      <c r="F116" s="63">
        <v>50</v>
      </c>
      <c r="G116" s="63">
        <v>25</v>
      </c>
      <c r="H116" s="63">
        <v>29</v>
      </c>
      <c r="I116" s="106"/>
      <c r="J116" s="107"/>
      <c r="K116" s="108"/>
      <c r="L116" s="109"/>
      <c r="M116" s="67">
        <f>SUM(B116,C116,D116,E116,F116)/5</f>
        <v>39.200000000000003</v>
      </c>
      <c r="N116" s="110">
        <f>SUM(B116:H116)/7</f>
        <v>35.714285714285715</v>
      </c>
    </row>
    <row r="117" spans="1:14" ht="9.75" customHeight="1" x14ac:dyDescent="0.3">
      <c r="A117" s="111" t="s">
        <v>129</v>
      </c>
      <c r="B117" s="69" t="s">
        <v>50</v>
      </c>
      <c r="C117" s="69" t="s">
        <v>51</v>
      </c>
      <c r="D117" s="69" t="s">
        <v>52</v>
      </c>
      <c r="E117" s="69" t="s">
        <v>53</v>
      </c>
      <c r="F117" s="69" t="s">
        <v>54</v>
      </c>
      <c r="G117" s="69" t="s">
        <v>55</v>
      </c>
      <c r="H117" s="69" t="s">
        <v>56</v>
      </c>
      <c r="I117" s="69" t="s">
        <v>130</v>
      </c>
      <c r="J117" s="69" t="s">
        <v>131</v>
      </c>
      <c r="K117" s="69" t="s">
        <v>132</v>
      </c>
      <c r="L117" s="112" t="s">
        <v>133</v>
      </c>
      <c r="M117" s="113" t="s">
        <v>134</v>
      </c>
      <c r="N117" s="114" t="s">
        <v>135</v>
      </c>
    </row>
    <row r="118" spans="1:14" ht="9.75" customHeight="1" x14ac:dyDescent="0.3">
      <c r="A118" s="115"/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  <c r="N118" s="117"/>
    </row>
    <row r="119" spans="1:14" s="118" customFormat="1" ht="10" customHeight="1" x14ac:dyDescent="0.3">
      <c r="C119" s="35"/>
      <c r="D119" s="35"/>
    </row>
    <row r="120" spans="1:14" s="118" customFormat="1" ht="10" customHeight="1" x14ac:dyDescent="0.3">
      <c r="C120" s="35"/>
      <c r="D120" s="35"/>
    </row>
    <row r="121" spans="1:14" s="118" customFormat="1" ht="10" customHeight="1" x14ac:dyDescent="0.3">
      <c r="C121" s="35"/>
      <c r="D121" s="35"/>
    </row>
    <row r="122" spans="1:14" s="118" customFormat="1" ht="10" customHeight="1" x14ac:dyDescent="0.3">
      <c r="C122" s="35"/>
      <c r="D122" s="35"/>
    </row>
    <row r="123" spans="1:14" s="118" customFormat="1" ht="10" customHeight="1" x14ac:dyDescent="0.3">
      <c r="C123" s="35"/>
      <c r="D123" s="35"/>
    </row>
    <row r="124" spans="1:14" s="118" customFormat="1" ht="10" customHeight="1" x14ac:dyDescent="0.3">
      <c r="C124" s="35"/>
      <c r="D124" s="35"/>
    </row>
    <row r="125" spans="1:14" s="118" customFormat="1" ht="15" customHeight="1" x14ac:dyDescent="0.3">
      <c r="C125" s="35"/>
      <c r="D125" s="35"/>
    </row>
  </sheetData>
  <mergeCells count="36">
    <mergeCell ref="M3:M4"/>
    <mergeCell ref="N3:N4"/>
    <mergeCell ref="A100:A101"/>
    <mergeCell ref="M100:M101"/>
    <mergeCell ref="N100:N101"/>
    <mergeCell ref="A58:A59"/>
    <mergeCell ref="M58:M59"/>
    <mergeCell ref="N58:N59"/>
    <mergeCell ref="A69:A70"/>
    <mergeCell ref="M69:M70"/>
    <mergeCell ref="N69:N70"/>
    <mergeCell ref="A110:A111"/>
    <mergeCell ref="M110:M111"/>
    <mergeCell ref="N110:N111"/>
    <mergeCell ref="A80:A81"/>
    <mergeCell ref="M80:M81"/>
    <mergeCell ref="N80:N81"/>
    <mergeCell ref="A90:A91"/>
    <mergeCell ref="M90:M91"/>
    <mergeCell ref="N90:N91"/>
    <mergeCell ref="A1:A2"/>
    <mergeCell ref="B1:N1"/>
    <mergeCell ref="B2:N2"/>
    <mergeCell ref="A47:A48"/>
    <mergeCell ref="M47:M48"/>
    <mergeCell ref="N47:N48"/>
    <mergeCell ref="A36:A37"/>
    <mergeCell ref="M36:M37"/>
    <mergeCell ref="N36:N37"/>
    <mergeCell ref="A25:A26"/>
    <mergeCell ref="M25:M26"/>
    <mergeCell ref="N25:N26"/>
    <mergeCell ref="A14:A15"/>
    <mergeCell ref="M14:M15"/>
    <mergeCell ref="N14:N15"/>
    <mergeCell ref="A3:A4"/>
  </mergeCells>
  <pageMargins left="1.22" right="0.7" top="0.75" bottom="0.75" header="0.3" footer="0.3"/>
  <pageSetup paperSize="9" scale="56" orientation="portrait" r:id="rId1"/>
  <headerFooter>
    <oddHeader>&amp;R&amp;"Canaro Light"&amp;10&amp;K000000 Internal Use&amp;1#_x000D_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006EF-6912-49F7-9FF4-7455A8563AEA}">
  <sheetPr>
    <pageSetUpPr fitToPage="1"/>
  </sheetPr>
  <dimension ref="A4:Y78"/>
  <sheetViews>
    <sheetView view="pageBreakPreview" zoomScale="80" zoomScaleNormal="100" zoomScaleSheetLayoutView="80" workbookViewId="0">
      <selection activeCell="B21" sqref="B21"/>
    </sheetView>
  </sheetViews>
  <sheetFormatPr baseColWidth="10" defaultColWidth="12" defaultRowHeight="13" x14ac:dyDescent="0.3"/>
  <cols>
    <col min="1" max="14" width="12" style="122"/>
    <col min="15" max="15" width="4.296875" style="122" customWidth="1"/>
    <col min="16" max="16384" width="12" style="122"/>
  </cols>
  <sheetData>
    <row r="4" spans="1:15" ht="12.75" customHeight="1" x14ac:dyDescent="0.3">
      <c r="I4" s="571" t="s">
        <v>185</v>
      </c>
      <c r="J4" s="571"/>
      <c r="K4" s="571"/>
      <c r="L4" s="571"/>
      <c r="M4" s="571"/>
      <c r="N4" s="571"/>
      <c r="O4" s="571"/>
    </row>
    <row r="5" spans="1:15" ht="12.75" customHeight="1" x14ac:dyDescent="0.3">
      <c r="F5" s="123"/>
      <c r="G5" s="123"/>
      <c r="H5" s="123"/>
      <c r="I5" s="571"/>
      <c r="J5" s="571"/>
      <c r="K5" s="571"/>
      <c r="L5" s="571"/>
      <c r="M5" s="571"/>
      <c r="N5" s="571"/>
      <c r="O5" s="571"/>
    </row>
    <row r="6" spans="1:15" x14ac:dyDescent="0.3">
      <c r="I6" s="572" t="s">
        <v>161</v>
      </c>
      <c r="J6" s="572"/>
      <c r="K6" s="572"/>
      <c r="L6" s="572"/>
      <c r="M6" s="572"/>
      <c r="N6" s="572"/>
      <c r="O6" s="572"/>
    </row>
    <row r="9" spans="1:15" x14ac:dyDescent="0.3">
      <c r="A9" s="124" t="s">
        <v>162</v>
      </c>
      <c r="B9" s="124"/>
      <c r="C9" s="124"/>
    </row>
    <row r="10" spans="1:15" x14ac:dyDescent="0.3">
      <c r="A10" s="124"/>
      <c r="B10" s="124"/>
      <c r="C10" s="124"/>
    </row>
    <row r="11" spans="1:15" x14ac:dyDescent="0.3">
      <c r="A11" s="125">
        <v>2012</v>
      </c>
      <c r="B11" s="126">
        <v>34.700000000000003</v>
      </c>
      <c r="C11" s="124"/>
    </row>
    <row r="12" spans="1:15" x14ac:dyDescent="0.3">
      <c r="A12" s="125">
        <v>2013</v>
      </c>
      <c r="B12" s="126">
        <v>37.4</v>
      </c>
      <c r="C12" s="124"/>
    </row>
    <row r="13" spans="1:15" x14ac:dyDescent="0.3">
      <c r="A13" s="125">
        <v>2014</v>
      </c>
      <c r="B13" s="126">
        <v>30.8</v>
      </c>
      <c r="C13" s="124"/>
    </row>
    <row r="14" spans="1:15" x14ac:dyDescent="0.3">
      <c r="A14" s="125">
        <v>2015</v>
      </c>
      <c r="B14" s="126">
        <v>36.799999999999997</v>
      </c>
      <c r="C14" s="124"/>
    </row>
    <row r="15" spans="1:15" x14ac:dyDescent="0.3">
      <c r="A15" s="125">
        <v>2016</v>
      </c>
      <c r="B15" s="126">
        <v>39</v>
      </c>
      <c r="C15" s="124"/>
    </row>
    <row r="16" spans="1:15" x14ac:dyDescent="0.3">
      <c r="A16" s="125">
        <v>2017</v>
      </c>
      <c r="B16" s="126">
        <v>34.200000000000003</v>
      </c>
    </row>
    <row r="17" spans="1:3" x14ac:dyDescent="0.3">
      <c r="A17" s="125">
        <v>2018</v>
      </c>
      <c r="B17" s="126">
        <v>43.5</v>
      </c>
    </row>
    <row r="18" spans="1:3" x14ac:dyDescent="0.3">
      <c r="A18" s="125">
        <v>2019</v>
      </c>
      <c r="B18" s="126">
        <v>36.200000000000003</v>
      </c>
    </row>
    <row r="19" spans="1:3" x14ac:dyDescent="0.3">
      <c r="A19" s="125">
        <v>2020</v>
      </c>
      <c r="B19" s="126">
        <v>30.5</v>
      </c>
    </row>
    <row r="20" spans="1:3" x14ac:dyDescent="0.3">
      <c r="A20" s="125">
        <v>2021</v>
      </c>
      <c r="B20" s="126">
        <v>43.6</v>
      </c>
    </row>
    <row r="21" spans="1:3" x14ac:dyDescent="0.3">
      <c r="A21" s="125">
        <v>2022</v>
      </c>
      <c r="B21" s="126">
        <v>38.799999999999997</v>
      </c>
    </row>
    <row r="22" spans="1:3" x14ac:dyDescent="0.3">
      <c r="B22" s="126"/>
    </row>
    <row r="28" spans="1:3" x14ac:dyDescent="0.3">
      <c r="A28" s="124" t="s">
        <v>163</v>
      </c>
      <c r="B28" s="124"/>
      <c r="C28" s="124"/>
    </row>
    <row r="30" spans="1:3" x14ac:dyDescent="0.3">
      <c r="A30" s="125">
        <v>2011</v>
      </c>
      <c r="B30" s="125">
        <v>32</v>
      </c>
    </row>
    <row r="31" spans="1:3" x14ac:dyDescent="0.3">
      <c r="A31" s="125">
        <v>2012</v>
      </c>
      <c r="B31" s="125">
        <v>52</v>
      </c>
    </row>
    <row r="32" spans="1:3" x14ac:dyDescent="0.3">
      <c r="A32" s="125">
        <v>2013</v>
      </c>
      <c r="B32" s="125">
        <v>63</v>
      </c>
    </row>
    <row r="33" spans="1:2" x14ac:dyDescent="0.3">
      <c r="A33" s="125">
        <v>2014</v>
      </c>
      <c r="B33" s="125">
        <v>63</v>
      </c>
    </row>
    <row r="34" spans="1:2" x14ac:dyDescent="0.3">
      <c r="A34" s="125">
        <v>2015</v>
      </c>
      <c r="B34" s="125">
        <v>56</v>
      </c>
    </row>
    <row r="35" spans="1:2" x14ac:dyDescent="0.3">
      <c r="A35" s="125">
        <v>2016</v>
      </c>
      <c r="B35" s="125">
        <v>49</v>
      </c>
    </row>
    <row r="36" spans="1:2" x14ac:dyDescent="0.3">
      <c r="A36" s="125">
        <v>2017</v>
      </c>
      <c r="B36" s="125">
        <v>51</v>
      </c>
    </row>
    <row r="37" spans="1:2" x14ac:dyDescent="0.3">
      <c r="A37" s="125">
        <v>2018</v>
      </c>
      <c r="B37" s="125">
        <v>52</v>
      </c>
    </row>
    <row r="38" spans="1:2" x14ac:dyDescent="0.3">
      <c r="A38" s="125">
        <v>2019</v>
      </c>
      <c r="B38" s="125">
        <v>58</v>
      </c>
    </row>
    <row r="39" spans="1:2" x14ac:dyDescent="0.3">
      <c r="A39" s="125">
        <v>2020</v>
      </c>
      <c r="B39" s="125">
        <v>67</v>
      </c>
    </row>
    <row r="40" spans="1:2" x14ac:dyDescent="0.3">
      <c r="A40" s="125">
        <v>2021</v>
      </c>
      <c r="B40" s="125">
        <v>54</v>
      </c>
    </row>
    <row r="41" spans="1:2" x14ac:dyDescent="0.3">
      <c r="A41" s="125">
        <v>2022</v>
      </c>
      <c r="B41" s="125">
        <v>54</v>
      </c>
    </row>
    <row r="47" spans="1:2" x14ac:dyDescent="0.3">
      <c r="A47" s="124" t="s">
        <v>164</v>
      </c>
    </row>
    <row r="49" spans="1:25" x14ac:dyDescent="0.3">
      <c r="A49" s="125" t="s">
        <v>25</v>
      </c>
      <c r="B49" s="125">
        <v>7</v>
      </c>
    </row>
    <row r="50" spans="1:25" x14ac:dyDescent="0.3">
      <c r="A50" s="125" t="s">
        <v>26</v>
      </c>
      <c r="B50" s="125">
        <v>14</v>
      </c>
    </row>
    <row r="51" spans="1:25" x14ac:dyDescent="0.3">
      <c r="A51" s="125" t="s">
        <v>27</v>
      </c>
      <c r="B51" s="125">
        <v>17</v>
      </c>
    </row>
    <row r="52" spans="1:25" x14ac:dyDescent="0.3">
      <c r="A52" s="125" t="s">
        <v>28</v>
      </c>
      <c r="B52" s="125">
        <v>8</v>
      </c>
      <c r="R52" s="11"/>
      <c r="S52" s="11"/>
      <c r="T52" s="11"/>
      <c r="U52" s="11"/>
      <c r="V52" s="11"/>
      <c r="W52" s="11"/>
      <c r="X52" s="11"/>
      <c r="Y52" s="11"/>
    </row>
    <row r="53" spans="1:25" x14ac:dyDescent="0.3">
      <c r="A53" s="125" t="s">
        <v>29</v>
      </c>
      <c r="B53" s="125">
        <v>5</v>
      </c>
      <c r="R53" s="11"/>
      <c r="S53" s="11"/>
      <c r="T53" s="11"/>
      <c r="U53" s="11"/>
      <c r="V53" s="11"/>
      <c r="W53" s="11"/>
      <c r="X53" s="11"/>
      <c r="Y53" s="11"/>
    </row>
    <row r="54" spans="1:25" x14ac:dyDescent="0.3">
      <c r="A54" s="125" t="s">
        <v>30</v>
      </c>
      <c r="B54" s="125">
        <v>6</v>
      </c>
    </row>
    <row r="55" spans="1:25" x14ac:dyDescent="0.3">
      <c r="A55" s="125" t="s">
        <v>42</v>
      </c>
      <c r="B55" s="125">
        <v>2</v>
      </c>
    </row>
    <row r="56" spans="1:25" x14ac:dyDescent="0.3">
      <c r="B56" s="118">
        <f>SUM(B49:B55)</f>
        <v>59</v>
      </c>
    </row>
    <row r="66" spans="1:2" x14ac:dyDescent="0.3">
      <c r="A66" s="124" t="s">
        <v>165</v>
      </c>
    </row>
    <row r="68" spans="1:2" x14ac:dyDescent="0.3">
      <c r="A68" s="125">
        <v>2012</v>
      </c>
      <c r="B68" s="125">
        <v>7</v>
      </c>
    </row>
    <row r="69" spans="1:2" x14ac:dyDescent="0.3">
      <c r="A69" s="125">
        <v>2013</v>
      </c>
      <c r="B69" s="125">
        <v>7</v>
      </c>
    </row>
    <row r="70" spans="1:2" x14ac:dyDescent="0.3">
      <c r="A70" s="125">
        <v>2014</v>
      </c>
      <c r="B70" s="125">
        <v>8</v>
      </c>
    </row>
    <row r="71" spans="1:2" x14ac:dyDescent="0.3">
      <c r="A71" s="125">
        <v>2015</v>
      </c>
      <c r="B71" s="125">
        <v>4</v>
      </c>
    </row>
    <row r="72" spans="1:2" x14ac:dyDescent="0.3">
      <c r="A72" s="125">
        <v>2016</v>
      </c>
      <c r="B72" s="125">
        <v>4</v>
      </c>
    </row>
    <row r="73" spans="1:2" x14ac:dyDescent="0.3">
      <c r="A73" s="125">
        <v>2017</v>
      </c>
      <c r="B73" s="125">
        <v>5</v>
      </c>
    </row>
    <row r="74" spans="1:2" x14ac:dyDescent="0.3">
      <c r="A74" s="125">
        <v>2018</v>
      </c>
      <c r="B74" s="125">
        <v>4</v>
      </c>
    </row>
    <row r="75" spans="1:2" x14ac:dyDescent="0.3">
      <c r="A75" s="125">
        <v>2019</v>
      </c>
      <c r="B75" s="125">
        <v>6</v>
      </c>
    </row>
    <row r="76" spans="1:2" x14ac:dyDescent="0.3">
      <c r="A76" s="125">
        <v>2020</v>
      </c>
      <c r="B76" s="125">
        <v>4</v>
      </c>
    </row>
    <row r="77" spans="1:2" x14ac:dyDescent="0.3">
      <c r="A77" s="125">
        <v>2021</v>
      </c>
      <c r="B77" s="125">
        <v>5</v>
      </c>
    </row>
    <row r="78" spans="1:2" x14ac:dyDescent="0.3">
      <c r="A78" s="125">
        <v>2022</v>
      </c>
      <c r="B78" s="125">
        <v>4</v>
      </c>
    </row>
  </sheetData>
  <mergeCells count="2">
    <mergeCell ref="I4:O5"/>
    <mergeCell ref="I6:O6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  <headerFooter>
    <oddHeader>&amp;R&amp;"Canaro Light"&amp;10&amp;K000000 Internal Use&amp;1#_x000D_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60882-4DD2-46EA-981E-D8B5680CFA46}">
  <dimension ref="A1:F45"/>
  <sheetViews>
    <sheetView topLeftCell="A10" workbookViewId="0">
      <selection activeCell="F30" sqref="F30"/>
    </sheetView>
  </sheetViews>
  <sheetFormatPr baseColWidth="10" defaultColWidth="11.5" defaultRowHeight="13" x14ac:dyDescent="0.3"/>
  <cols>
    <col min="1" max="16384" width="11.5" style="241"/>
  </cols>
  <sheetData>
    <row r="1" spans="1:6" x14ac:dyDescent="0.3">
      <c r="A1" s="241" t="s">
        <v>215</v>
      </c>
      <c r="B1" s="241" t="s">
        <v>216</v>
      </c>
      <c r="F1" s="155" t="s">
        <v>684</v>
      </c>
    </row>
    <row r="2" spans="1:6" x14ac:dyDescent="0.3">
      <c r="A2" s="241">
        <v>1</v>
      </c>
      <c r="B2" s="241">
        <v>25</v>
      </c>
      <c r="F2" s="155" t="s">
        <v>670</v>
      </c>
    </row>
    <row r="3" spans="1:6" x14ac:dyDescent="0.3">
      <c r="A3" s="241">
        <v>2</v>
      </c>
      <c r="B3" s="241">
        <v>20</v>
      </c>
      <c r="F3" s="155" t="s">
        <v>629</v>
      </c>
    </row>
    <row r="4" spans="1:6" x14ac:dyDescent="0.3">
      <c r="A4" s="241">
        <v>3</v>
      </c>
      <c r="B4" s="241">
        <v>17</v>
      </c>
      <c r="F4" s="155" t="s">
        <v>594</v>
      </c>
    </row>
    <row r="5" spans="1:6" x14ac:dyDescent="0.3">
      <c r="A5" s="241">
        <v>4</v>
      </c>
      <c r="B5" s="241">
        <v>15</v>
      </c>
      <c r="F5" s="155" t="s">
        <v>575</v>
      </c>
    </row>
    <row r="6" spans="1:6" x14ac:dyDescent="0.3">
      <c r="A6" s="241">
        <v>5</v>
      </c>
      <c r="B6" s="241">
        <v>12</v>
      </c>
      <c r="F6" s="155" t="s">
        <v>631</v>
      </c>
    </row>
    <row r="7" spans="1:6" x14ac:dyDescent="0.3">
      <c r="A7" s="241">
        <v>6</v>
      </c>
      <c r="B7" s="241">
        <v>10</v>
      </c>
      <c r="F7" s="155" t="s">
        <v>611</v>
      </c>
    </row>
    <row r="8" spans="1:6" x14ac:dyDescent="0.3">
      <c r="A8" s="241">
        <v>7</v>
      </c>
      <c r="B8" s="241">
        <v>8</v>
      </c>
      <c r="F8" s="155" t="s">
        <v>457</v>
      </c>
    </row>
    <row r="9" spans="1:6" x14ac:dyDescent="0.3">
      <c r="A9" s="241">
        <v>8</v>
      </c>
      <c r="B9" s="241">
        <v>6</v>
      </c>
      <c r="F9" s="155" t="s">
        <v>669</v>
      </c>
    </row>
    <row r="10" spans="1:6" x14ac:dyDescent="0.3">
      <c r="A10" s="241">
        <v>9</v>
      </c>
      <c r="B10" s="241">
        <v>5</v>
      </c>
      <c r="F10" s="155" t="s">
        <v>608</v>
      </c>
    </row>
    <row r="11" spans="1:6" x14ac:dyDescent="0.3">
      <c r="A11" s="241">
        <v>10</v>
      </c>
      <c r="B11" s="241">
        <v>4</v>
      </c>
      <c r="F11" s="242" t="s">
        <v>636</v>
      </c>
    </row>
    <row r="12" spans="1:6" x14ac:dyDescent="0.3">
      <c r="A12" s="241">
        <v>11</v>
      </c>
      <c r="B12" s="241">
        <v>3</v>
      </c>
      <c r="F12" s="155" t="s">
        <v>212</v>
      </c>
    </row>
    <row r="13" spans="1:6" x14ac:dyDescent="0.3">
      <c r="A13" s="241">
        <v>12</v>
      </c>
      <c r="B13" s="241">
        <v>2</v>
      </c>
      <c r="F13" s="155" t="s">
        <v>672</v>
      </c>
    </row>
    <row r="14" spans="1:6" x14ac:dyDescent="0.3">
      <c r="A14" s="241">
        <v>13</v>
      </c>
      <c r="B14" s="241">
        <v>1</v>
      </c>
      <c r="F14" s="142" t="s">
        <v>620</v>
      </c>
    </row>
    <row r="15" spans="1:6" x14ac:dyDescent="0.3">
      <c r="A15" s="241">
        <v>14</v>
      </c>
      <c r="B15" s="241">
        <v>0</v>
      </c>
      <c r="F15" s="142" t="s">
        <v>679</v>
      </c>
    </row>
    <row r="16" spans="1:6" x14ac:dyDescent="0.3">
      <c r="A16" s="241">
        <v>15</v>
      </c>
      <c r="B16" s="241">
        <v>0</v>
      </c>
      <c r="F16" s="142" t="s">
        <v>605</v>
      </c>
    </row>
    <row r="17" spans="1:6" x14ac:dyDescent="0.3">
      <c r="A17" s="241">
        <v>16</v>
      </c>
      <c r="B17" s="241">
        <v>0</v>
      </c>
      <c r="F17" s="142" t="s">
        <v>673</v>
      </c>
    </row>
    <row r="18" spans="1:6" x14ac:dyDescent="0.3">
      <c r="A18" s="241">
        <v>17</v>
      </c>
      <c r="B18" s="241">
        <v>0</v>
      </c>
      <c r="F18" s="134" t="s">
        <v>625</v>
      </c>
    </row>
    <row r="19" spans="1:6" x14ac:dyDescent="0.3">
      <c r="A19" s="241">
        <v>18</v>
      </c>
      <c r="B19" s="241">
        <v>0</v>
      </c>
      <c r="F19" s="142" t="s">
        <v>590</v>
      </c>
    </row>
    <row r="20" spans="1:6" x14ac:dyDescent="0.3">
      <c r="A20" s="241">
        <v>19</v>
      </c>
      <c r="B20" s="241">
        <v>0</v>
      </c>
      <c r="F20" s="142" t="s">
        <v>633</v>
      </c>
    </row>
    <row r="21" spans="1:6" x14ac:dyDescent="0.3">
      <c r="A21" s="241">
        <v>20</v>
      </c>
      <c r="B21" s="241">
        <v>0</v>
      </c>
      <c r="F21" s="142" t="s">
        <v>613</v>
      </c>
    </row>
    <row r="22" spans="1:6" x14ac:dyDescent="0.3">
      <c r="A22" s="241">
        <v>21</v>
      </c>
      <c r="B22" s="241">
        <v>0</v>
      </c>
      <c r="F22" s="142" t="s">
        <v>677</v>
      </c>
    </row>
    <row r="23" spans="1:6" x14ac:dyDescent="0.3">
      <c r="A23" s="241">
        <v>22</v>
      </c>
      <c r="B23" s="241">
        <v>0</v>
      </c>
      <c r="F23" s="134" t="s">
        <v>589</v>
      </c>
    </row>
    <row r="24" spans="1:6" x14ac:dyDescent="0.3">
      <c r="A24" s="241" t="s">
        <v>167</v>
      </c>
      <c r="B24" s="241" t="s">
        <v>216</v>
      </c>
      <c r="F24" s="142" t="s">
        <v>596</v>
      </c>
    </row>
    <row r="25" spans="1:6" x14ac:dyDescent="0.3">
      <c r="A25" s="241">
        <v>1</v>
      </c>
      <c r="B25" s="241">
        <v>10</v>
      </c>
      <c r="F25" s="142" t="s">
        <v>577</v>
      </c>
    </row>
    <row r="26" spans="1:6" x14ac:dyDescent="0.3">
      <c r="A26" s="241">
        <v>2</v>
      </c>
      <c r="B26" s="241">
        <v>8</v>
      </c>
      <c r="F26" s="142" t="s">
        <v>638</v>
      </c>
    </row>
    <row r="27" spans="1:6" x14ac:dyDescent="0.3">
      <c r="A27" s="241">
        <v>3</v>
      </c>
      <c r="B27" s="241">
        <v>6</v>
      </c>
      <c r="F27" s="134" t="s">
        <v>638</v>
      </c>
    </row>
    <row r="28" spans="1:6" x14ac:dyDescent="0.3">
      <c r="A28" s="241">
        <v>4</v>
      </c>
      <c r="B28" s="241">
        <v>5</v>
      </c>
      <c r="F28" s="134" t="s">
        <v>638</v>
      </c>
    </row>
    <row r="29" spans="1:6" x14ac:dyDescent="0.3">
      <c r="A29" s="241">
        <v>5</v>
      </c>
      <c r="B29" s="241">
        <v>3</v>
      </c>
      <c r="F29" s="142" t="s">
        <v>627</v>
      </c>
    </row>
    <row r="30" spans="1:6" x14ac:dyDescent="0.3">
      <c r="A30" s="241">
        <v>6</v>
      </c>
      <c r="B30" s="241">
        <v>1</v>
      </c>
      <c r="F30" s="142" t="s">
        <v>598</v>
      </c>
    </row>
    <row r="31" spans="1:6" x14ac:dyDescent="0.3">
      <c r="A31" s="241">
        <v>7</v>
      </c>
      <c r="B31" s="241">
        <v>0</v>
      </c>
      <c r="F31" s="142" t="s">
        <v>681</v>
      </c>
    </row>
    <row r="32" spans="1:6" x14ac:dyDescent="0.3">
      <c r="F32" s="142" t="s">
        <v>458</v>
      </c>
    </row>
    <row r="33" spans="6:6" x14ac:dyDescent="0.3">
      <c r="F33" s="510"/>
    </row>
    <row r="34" spans="6:6" x14ac:dyDescent="0.3">
      <c r="F34" s="510"/>
    </row>
    <row r="35" spans="6:6" x14ac:dyDescent="0.3">
      <c r="F35" s="510"/>
    </row>
    <row r="36" spans="6:6" x14ac:dyDescent="0.3">
      <c r="F36" s="510"/>
    </row>
    <row r="37" spans="6:6" x14ac:dyDescent="0.3">
      <c r="F37" s="510"/>
    </row>
    <row r="38" spans="6:6" x14ac:dyDescent="0.3">
      <c r="F38" s="510"/>
    </row>
    <row r="39" spans="6:6" x14ac:dyDescent="0.3">
      <c r="F39" s="510"/>
    </row>
    <row r="40" spans="6:6" x14ac:dyDescent="0.3">
      <c r="F40" s="510"/>
    </row>
    <row r="41" spans="6:6" x14ac:dyDescent="0.3">
      <c r="F41" s="510"/>
    </row>
    <row r="42" spans="6:6" x14ac:dyDescent="0.3">
      <c r="F42" s="510"/>
    </row>
    <row r="43" spans="6:6" x14ac:dyDescent="0.3">
      <c r="F43" s="510"/>
    </row>
    <row r="44" spans="6:6" x14ac:dyDescent="0.3">
      <c r="F44" s="510"/>
    </row>
    <row r="45" spans="6:6" x14ac:dyDescent="0.3">
      <c r="F45" s="510"/>
    </row>
  </sheetData>
  <sortState xmlns:xlrd2="http://schemas.microsoft.com/office/spreadsheetml/2017/richdata2" ref="F1:F45">
    <sortCondition ref="F11:F45"/>
  </sortState>
  <pageMargins left="0.7" right="0.7" top="0.75" bottom="0.75" header="0.3" footer="0.3"/>
  <pageSetup paperSize="9" orientation="portrait" r:id="rId1"/>
  <headerFooter>
    <oddHeader>&amp;R&amp;"Canaro Light"&amp;10&amp;K000000 Internal Use&amp;1#_x000D_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FE6F2-0FE6-4ACE-BBAA-566A2839AE7F}">
  <dimension ref="C3:L36"/>
  <sheetViews>
    <sheetView workbookViewId="0">
      <selection activeCell="I10" sqref="I10"/>
    </sheetView>
  </sheetViews>
  <sheetFormatPr baseColWidth="10" defaultRowHeight="13" x14ac:dyDescent="0.3"/>
  <cols>
    <col min="3" max="3" width="36.19921875" bestFit="1" customWidth="1"/>
    <col min="6" max="6" width="39.19921875" bestFit="1" customWidth="1"/>
    <col min="9" max="9" width="37.19921875" bestFit="1" customWidth="1"/>
    <col min="10" max="10" width="12.19921875" customWidth="1"/>
    <col min="11" max="11" width="39.796875" bestFit="1" customWidth="1"/>
  </cols>
  <sheetData>
    <row r="3" spans="3:12" x14ac:dyDescent="0.3">
      <c r="C3" t="s">
        <v>1</v>
      </c>
      <c r="D3" t="s">
        <v>280</v>
      </c>
      <c r="F3" t="s">
        <v>1</v>
      </c>
      <c r="G3" t="s">
        <v>280</v>
      </c>
      <c r="I3" t="s">
        <v>433</v>
      </c>
      <c r="K3" t="s">
        <v>434</v>
      </c>
      <c r="L3" t="s">
        <v>460</v>
      </c>
    </row>
    <row r="4" spans="3:12" x14ac:dyDescent="0.3">
      <c r="C4" s="142" t="s">
        <v>241</v>
      </c>
      <c r="D4" s="227" t="str">
        <f>IFERROR(VLOOKUP(C4,Tabla15[[Piloto]:[Puntos clase]],7, FALSE), " ")</f>
        <v xml:space="preserve"> </v>
      </c>
      <c r="F4" s="282" t="s">
        <v>241</v>
      </c>
      <c r="G4" s="283">
        <v>5</v>
      </c>
      <c r="I4" s="134" t="s">
        <v>233</v>
      </c>
      <c r="J4" s="155"/>
      <c r="K4" s="290" t="s">
        <v>233</v>
      </c>
      <c r="L4" s="290" t="s">
        <v>168</v>
      </c>
    </row>
    <row r="5" spans="3:12" x14ac:dyDescent="0.3">
      <c r="C5" s="134" t="s">
        <v>319</v>
      </c>
      <c r="D5" s="227">
        <f>IFERROR(VLOOKUP(C5,Tabla15[[Piloto]:[Puntos clase]],7, FALSE), " ")</f>
        <v>3</v>
      </c>
      <c r="I5" s="142" t="s">
        <v>301</v>
      </c>
      <c r="J5" s="242"/>
    </row>
    <row r="6" spans="3:12" x14ac:dyDescent="0.3">
      <c r="C6" s="142" t="s">
        <v>278</v>
      </c>
      <c r="D6" s="227" t="str">
        <f>IFERROR(VLOOKUP(C6,Tabla15[[Piloto]:[Puntos clase]],7, FALSE), " ")</f>
        <v xml:space="preserve"> </v>
      </c>
      <c r="I6" s="142" t="s">
        <v>373</v>
      </c>
      <c r="J6" s="155"/>
    </row>
    <row r="7" spans="3:12" x14ac:dyDescent="0.3">
      <c r="C7" s="142" t="s">
        <v>249</v>
      </c>
      <c r="D7" s="227" t="str">
        <f>IFERROR(VLOOKUP(C7,Tabla15[[Piloto]:[Puntos clase]],7, FALSE), " ")</f>
        <v xml:space="preserve"> </v>
      </c>
      <c r="F7" s="282" t="s">
        <v>249</v>
      </c>
      <c r="G7" s="283">
        <v>2</v>
      </c>
      <c r="I7" s="142" t="s">
        <v>240</v>
      </c>
      <c r="J7" s="155"/>
      <c r="K7" s="282" t="s">
        <v>240</v>
      </c>
      <c r="L7" s="282" t="s">
        <v>168</v>
      </c>
    </row>
    <row r="8" spans="3:12" x14ac:dyDescent="0.3">
      <c r="C8" s="142" t="s">
        <v>246</v>
      </c>
      <c r="D8" s="227" t="s">
        <v>359</v>
      </c>
      <c r="F8" s="282"/>
      <c r="G8" s="283"/>
      <c r="I8" s="142" t="s">
        <v>374</v>
      </c>
      <c r="J8" s="155"/>
      <c r="K8" s="282"/>
      <c r="L8" s="282"/>
    </row>
    <row r="9" spans="3:12" x14ac:dyDescent="0.3">
      <c r="C9" s="142" t="s">
        <v>317</v>
      </c>
      <c r="D9" s="227" t="str">
        <f>IFERROR(VLOOKUP(C9,Tabla15[[Piloto]:[Puntos clase]],7, FALSE), " ")</f>
        <v xml:space="preserve"> </v>
      </c>
      <c r="I9" s="142" t="s">
        <v>311</v>
      </c>
      <c r="J9" s="155"/>
      <c r="K9" s="290"/>
      <c r="L9" s="290"/>
    </row>
    <row r="10" spans="3:12" x14ac:dyDescent="0.3">
      <c r="C10" s="134" t="s">
        <v>281</v>
      </c>
      <c r="D10" s="227" t="str">
        <f>IFERROR(VLOOKUP(C10,Tabla15[[Piloto]:[Puntos clase]],7, FALSE), " ")</f>
        <v xml:space="preserve"> </v>
      </c>
      <c r="I10" s="142" t="s">
        <v>251</v>
      </c>
      <c r="J10" s="155"/>
      <c r="K10" s="282" t="s">
        <v>251</v>
      </c>
      <c r="L10" s="282" t="s">
        <v>168</v>
      </c>
    </row>
    <row r="11" spans="3:12" x14ac:dyDescent="0.3">
      <c r="C11" s="142" t="s">
        <v>312</v>
      </c>
      <c r="D11" s="227" t="str">
        <f>IFERROR(VLOOKUP(C11,Tabla15[[Piloto]:[Puntos clase]],7, FALSE), " ")</f>
        <v xml:space="preserve"> </v>
      </c>
      <c r="F11" s="290" t="s">
        <v>312</v>
      </c>
      <c r="G11" s="291">
        <v>3</v>
      </c>
      <c r="I11" s="134" t="s">
        <v>250</v>
      </c>
      <c r="J11" s="155"/>
      <c r="K11" s="290" t="s">
        <v>250</v>
      </c>
      <c r="L11" s="290" t="s">
        <v>168</v>
      </c>
    </row>
    <row r="12" spans="3:12" x14ac:dyDescent="0.3">
      <c r="C12" s="242" t="s">
        <v>368</v>
      </c>
      <c r="D12" s="227">
        <f>IFERROR(VLOOKUP(C12,Tabla15[[Piloto]:[Puntos clase]],7, FALSE), " ")</f>
        <v>3</v>
      </c>
      <c r="F12" s="282" t="s">
        <v>368</v>
      </c>
      <c r="G12" s="283">
        <v>3</v>
      </c>
      <c r="I12" s="142" t="s">
        <v>306</v>
      </c>
      <c r="J12" s="155"/>
      <c r="K12" s="282"/>
      <c r="L12" s="282"/>
    </row>
    <row r="13" spans="3:12" x14ac:dyDescent="0.3">
      <c r="C13" s="142" t="s">
        <v>212</v>
      </c>
      <c r="D13" s="227" t="s">
        <v>359</v>
      </c>
      <c r="F13" s="290" t="s">
        <v>212</v>
      </c>
      <c r="G13" s="291">
        <v>3</v>
      </c>
      <c r="I13" s="142" t="s">
        <v>297</v>
      </c>
      <c r="J13" s="155"/>
      <c r="K13" s="290"/>
      <c r="L13" s="290"/>
    </row>
    <row r="14" spans="3:12" x14ac:dyDescent="0.3">
      <c r="C14" s="142" t="s">
        <v>339</v>
      </c>
      <c r="D14" s="227" t="str">
        <f>IFERROR(VLOOKUP(C14,Tabla15[[Piloto]:[Puntos clase]],7, FALSE), " ")</f>
        <v xml:space="preserve"> </v>
      </c>
      <c r="I14" s="142" t="s">
        <v>318</v>
      </c>
      <c r="J14" s="155"/>
    </row>
    <row r="15" spans="3:12" x14ac:dyDescent="0.3">
      <c r="C15" s="142" t="s">
        <v>369</v>
      </c>
      <c r="D15" s="227">
        <v>1</v>
      </c>
      <c r="I15" s="142" t="s">
        <v>376</v>
      </c>
      <c r="J15" s="155"/>
    </row>
    <row r="16" spans="3:12" x14ac:dyDescent="0.3">
      <c r="C16" s="142" t="s">
        <v>285</v>
      </c>
      <c r="D16" s="227" t="str">
        <f>IFERROR(VLOOKUP(C16,Tabla15[[Piloto]:[Puntos clase]],7, FALSE), " ")</f>
        <v xml:space="preserve"> </v>
      </c>
      <c r="F16" s="290" t="s">
        <v>285</v>
      </c>
      <c r="G16" s="291">
        <v>3</v>
      </c>
      <c r="I16" s="142" t="s">
        <v>244</v>
      </c>
      <c r="J16" s="155"/>
      <c r="K16" s="282" t="s">
        <v>244</v>
      </c>
      <c r="L16" s="282" t="s">
        <v>168</v>
      </c>
    </row>
    <row r="17" spans="3:12" x14ac:dyDescent="0.3">
      <c r="C17" s="142" t="s">
        <v>370</v>
      </c>
      <c r="D17" s="227">
        <v>5</v>
      </c>
      <c r="F17" s="290" t="s">
        <v>370</v>
      </c>
      <c r="G17" s="291">
        <v>5</v>
      </c>
      <c r="I17" s="142" t="s">
        <v>243</v>
      </c>
      <c r="J17" s="155"/>
      <c r="K17" s="290" t="s">
        <v>243</v>
      </c>
      <c r="L17" s="290" t="s">
        <v>168</v>
      </c>
    </row>
    <row r="18" spans="3:12" x14ac:dyDescent="0.3">
      <c r="C18" s="142" t="s">
        <v>174</v>
      </c>
      <c r="D18" s="227">
        <f>IFERROR(VLOOKUP(C18,Tabla15[[Piloto]:[Puntos clase]],7, FALSE), " ")</f>
        <v>1</v>
      </c>
      <c r="F18" s="290"/>
      <c r="G18" s="291"/>
      <c r="I18" s="142" t="s">
        <v>309</v>
      </c>
      <c r="J18" s="242"/>
    </row>
    <row r="19" spans="3:12" x14ac:dyDescent="0.3">
      <c r="C19" s="142" t="s">
        <v>275</v>
      </c>
      <c r="D19" s="227" t="str">
        <f>IFERROR(VLOOKUP(C19,Tabla15[[Piloto]:[Puntos clase]],7, FALSE), " ")</f>
        <v xml:space="preserve"> </v>
      </c>
      <c r="F19" s="290" t="s">
        <v>275</v>
      </c>
      <c r="G19" s="291">
        <v>5</v>
      </c>
      <c r="I19" s="142" t="s">
        <v>375</v>
      </c>
      <c r="J19" s="155"/>
      <c r="K19" s="282" t="s">
        <v>455</v>
      </c>
      <c r="L19" s="282" t="s">
        <v>168</v>
      </c>
    </row>
    <row r="20" spans="3:12" x14ac:dyDescent="0.3">
      <c r="C20" s="142" t="s">
        <v>245</v>
      </c>
      <c r="D20" s="227" t="str">
        <f>IFERROR(VLOOKUP(C20,Tabla15[[Piloto]:[Puntos clase]],7, FALSE), " ")</f>
        <v xml:space="preserve"> </v>
      </c>
      <c r="I20" s="142" t="s">
        <v>320</v>
      </c>
      <c r="J20" s="155"/>
      <c r="K20" s="290"/>
      <c r="L20" s="290"/>
    </row>
    <row r="21" spans="3:12" x14ac:dyDescent="0.3">
      <c r="C21" s="142" t="s">
        <v>367</v>
      </c>
      <c r="D21" s="227">
        <v>5</v>
      </c>
      <c r="F21" s="282" t="s">
        <v>367</v>
      </c>
      <c r="G21" s="283">
        <v>5</v>
      </c>
      <c r="I21" s="142" t="s">
        <v>303</v>
      </c>
      <c r="J21" s="155"/>
      <c r="K21" s="290"/>
      <c r="L21" s="290"/>
    </row>
    <row r="22" spans="3:12" x14ac:dyDescent="0.3">
      <c r="C22" s="142" t="s">
        <v>234</v>
      </c>
      <c r="D22" s="227" t="str">
        <f>IFERROR(VLOOKUP(C22,Tabla15[[Piloto]:[Puntos clase]],7, FALSE), " ")</f>
        <v xml:space="preserve"> </v>
      </c>
      <c r="I22" s="142" t="s">
        <v>377</v>
      </c>
      <c r="J22" s="242"/>
      <c r="K22" s="290"/>
      <c r="L22" s="290"/>
    </row>
    <row r="23" spans="3:12" x14ac:dyDescent="0.3">
      <c r="C23" s="142" t="s">
        <v>238</v>
      </c>
      <c r="D23" s="227" t="str">
        <f>IFERROR(VLOOKUP(C23,Tabla15[[Piloto]:[Puntos clase]],7, FALSE), " ")</f>
        <v xml:space="preserve"> </v>
      </c>
      <c r="F23" s="282" t="s">
        <v>238</v>
      </c>
      <c r="G23" s="283">
        <v>1</v>
      </c>
      <c r="I23" s="142" t="s">
        <v>282</v>
      </c>
      <c r="J23" s="155"/>
      <c r="K23" s="282" t="s">
        <v>282</v>
      </c>
      <c r="L23" s="282" t="s">
        <v>168</v>
      </c>
    </row>
    <row r="24" spans="3:12" x14ac:dyDescent="0.3">
      <c r="C24" s="142" t="s">
        <v>242</v>
      </c>
      <c r="D24" s="227" t="str">
        <f>IFERROR(VLOOKUP(C24,Tabla15[[Piloto]:[Puntos clase]],7, FALSE), " ")</f>
        <v xml:space="preserve"> </v>
      </c>
      <c r="F24" s="290" t="s">
        <v>242</v>
      </c>
      <c r="G24" s="291">
        <v>3</v>
      </c>
      <c r="I24" s="142" t="s">
        <v>313</v>
      </c>
      <c r="J24" s="155"/>
      <c r="K24" s="290" t="s">
        <v>313</v>
      </c>
      <c r="L24" s="290" t="s">
        <v>168</v>
      </c>
    </row>
    <row r="25" spans="3:12" x14ac:dyDescent="0.3">
      <c r="C25" s="134" t="s">
        <v>226</v>
      </c>
      <c r="D25" s="227" t="str">
        <f>IFERROR(VLOOKUP(C25,Tabla15[[Piloto]:[Puntos clase]],7, FALSE), " ")</f>
        <v xml:space="preserve"> </v>
      </c>
      <c r="F25" s="290" t="s">
        <v>226</v>
      </c>
      <c r="G25" s="291">
        <v>2</v>
      </c>
      <c r="I25" s="142" t="s">
        <v>237</v>
      </c>
      <c r="J25" s="155"/>
      <c r="K25" s="290" t="s">
        <v>237</v>
      </c>
      <c r="L25" s="290" t="s">
        <v>168</v>
      </c>
    </row>
    <row r="26" spans="3:12" x14ac:dyDescent="0.3">
      <c r="C26" s="134" t="s">
        <v>295</v>
      </c>
      <c r="D26" s="227" t="str">
        <f>IFERROR(VLOOKUP(C26,Tabla15[[Piloto]:[Puntos clase]],7, FALSE), " ")</f>
        <v xml:space="preserve"> </v>
      </c>
      <c r="F26" s="282" t="s">
        <v>295</v>
      </c>
      <c r="G26" s="283">
        <v>2</v>
      </c>
      <c r="I26" s="142" t="s">
        <v>253</v>
      </c>
      <c r="J26" s="155"/>
    </row>
    <row r="27" spans="3:12" x14ac:dyDescent="0.3">
      <c r="C27" s="142" t="s">
        <v>310</v>
      </c>
      <c r="D27" s="227" t="str">
        <f>IFERROR(VLOOKUP(C27,Tabla15[[Piloto]:[Puntos clase]],7, FALSE), " ")</f>
        <v xml:space="preserve"> </v>
      </c>
      <c r="I27" s="142" t="s">
        <v>284</v>
      </c>
      <c r="J27" s="155"/>
    </row>
    <row r="28" spans="3:12" x14ac:dyDescent="0.3">
      <c r="C28" s="134" t="s">
        <v>300</v>
      </c>
      <c r="D28" s="227" t="str">
        <f>IFERROR(VLOOKUP(C28,Tabla15[[Piloto]:[Puntos clase]],7, FALSE), " ")</f>
        <v xml:space="preserve"> </v>
      </c>
      <c r="I28" s="142" t="s">
        <v>296</v>
      </c>
      <c r="J28" s="155"/>
      <c r="K28" s="282" t="s">
        <v>296</v>
      </c>
      <c r="L28" s="282" t="s">
        <v>168</v>
      </c>
    </row>
    <row r="29" spans="3:12" x14ac:dyDescent="0.3">
      <c r="C29" s="142" t="s">
        <v>225</v>
      </c>
      <c r="D29" s="227" t="str">
        <f>IFERROR(VLOOKUP(C29,Tabla15[[Piloto]:[Puntos clase]],7, FALSE), " ")</f>
        <v xml:space="preserve"> </v>
      </c>
      <c r="F29" s="290" t="s">
        <v>225</v>
      </c>
      <c r="G29" s="291">
        <v>1</v>
      </c>
      <c r="I29" s="142" t="s">
        <v>293</v>
      </c>
      <c r="J29" s="242"/>
    </row>
    <row r="30" spans="3:12" x14ac:dyDescent="0.3">
      <c r="C30" s="142" t="s">
        <v>364</v>
      </c>
      <c r="D30" s="227">
        <v>1</v>
      </c>
      <c r="F30" s="282" t="s">
        <v>364</v>
      </c>
      <c r="G30" s="283">
        <v>1</v>
      </c>
      <c r="I30" s="142" t="s">
        <v>276</v>
      </c>
      <c r="J30" s="155"/>
      <c r="K30" s="290" t="s">
        <v>276</v>
      </c>
      <c r="L30" s="290" t="s">
        <v>168</v>
      </c>
    </row>
    <row r="31" spans="3:12" x14ac:dyDescent="0.3">
      <c r="C31" s="142" t="s">
        <v>365</v>
      </c>
      <c r="D31" s="227">
        <v>1</v>
      </c>
      <c r="F31" s="290"/>
      <c r="G31" s="291"/>
      <c r="I31" s="142" t="s">
        <v>277</v>
      </c>
      <c r="J31" s="155"/>
      <c r="K31" s="282"/>
      <c r="L31" s="282"/>
    </row>
    <row r="32" spans="3:12" x14ac:dyDescent="0.3">
      <c r="C32" s="142" t="s">
        <v>252</v>
      </c>
      <c r="D32" s="227" t="s">
        <v>359</v>
      </c>
      <c r="I32" s="134" t="s">
        <v>384</v>
      </c>
      <c r="J32" s="155"/>
      <c r="K32" s="282" t="s">
        <v>458</v>
      </c>
      <c r="L32" s="282" t="s">
        <v>168</v>
      </c>
    </row>
    <row r="33" spans="3:11" x14ac:dyDescent="0.3">
      <c r="C33" s="142" t="s">
        <v>283</v>
      </c>
      <c r="D33" s="227">
        <f>IFERROR(VLOOKUP(C33,Tabla15[[Piloto]:[Puntos clase]],7, FALSE), " ")</f>
        <v>4</v>
      </c>
      <c r="F33" s="282" t="s">
        <v>450</v>
      </c>
      <c r="G33" s="283">
        <v>4</v>
      </c>
      <c r="I33" s="134" t="s">
        <v>274</v>
      </c>
      <c r="J33" s="155"/>
    </row>
    <row r="34" spans="3:11" x14ac:dyDescent="0.3">
      <c r="C34" s="142" t="s">
        <v>356</v>
      </c>
      <c r="D34" s="227" t="str">
        <f>IFERROR(VLOOKUP(C34,Tabla15[[Piloto]:[Puntos clase]],7, FALSE), " ")</f>
        <v xml:space="preserve"> </v>
      </c>
      <c r="I34" s="142" t="s">
        <v>235</v>
      </c>
      <c r="J34" s="155"/>
      <c r="K34" s="282"/>
    </row>
    <row r="35" spans="3:11" x14ac:dyDescent="0.3">
      <c r="C35" s="142" t="s">
        <v>366</v>
      </c>
      <c r="D35" s="227">
        <v>3</v>
      </c>
      <c r="F35" s="290" t="s">
        <v>366</v>
      </c>
      <c r="G35" s="291">
        <v>3</v>
      </c>
    </row>
    <row r="36" spans="3:11" x14ac:dyDescent="0.3">
      <c r="C36" s="142" t="s">
        <v>305</v>
      </c>
      <c r="D36" s="227" t="str">
        <f>IFERROR(VLOOKUP(C36,Tabla15[[Piloto]:[Puntos clase]],7, FALSE), " ")</f>
        <v xml:space="preserve"> </v>
      </c>
      <c r="F36" s="282"/>
      <c r="G36" s="283"/>
    </row>
  </sheetData>
  <autoFilter ref="K3:L3" xr:uid="{E20FE6F2-0FE6-4ACE-BBAA-566A2839AE7F}">
    <sortState xmlns:xlrd2="http://schemas.microsoft.com/office/spreadsheetml/2017/richdata2" ref="K4:L26">
      <sortCondition ref="K3"/>
    </sortState>
  </autoFilter>
  <conditionalFormatting sqref="D4:D36">
    <cfRule type="containsBlanks" dxfId="0" priority="1">
      <formula>LEN(TRIM(D4))=0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F57DA59-1875-419F-8D38-BBB487016570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b919f50a-8d90-422f-8e1c-6918bbeb3e58}" enabled="1" method="Standard" siteId="{b9418667-dc3e-4da9-8081-b0750534a347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24</vt:i4>
      </vt:variant>
    </vt:vector>
  </HeadingPairs>
  <TitlesOfParts>
    <vt:vector size="41" baseType="lpstr">
      <vt:lpstr>PREMIADOS</vt:lpstr>
      <vt:lpstr>FINAL</vt:lpstr>
      <vt:lpstr>POST MAQUEDA PARA WEB</vt:lpstr>
      <vt:lpstr>POST GUADAMUR PARA WEB</vt:lpstr>
      <vt:lpstr>POST ALCARRIA PARA WEB</vt:lpstr>
      <vt:lpstr>CLASIFICACIÓN</vt:lpstr>
      <vt:lpstr>06_TCT NUEVO BAZTÁN</vt:lpstr>
      <vt:lpstr>05_RS NAVALCARNERO</vt:lpstr>
      <vt:lpstr>04_RALLYE CAM</vt:lpstr>
      <vt:lpstr>03_TCT MAQUEDA</vt:lpstr>
      <vt:lpstr>02_TCT GUADAMUR</vt:lpstr>
      <vt:lpstr>01_RS ALCARRIA</vt:lpstr>
      <vt:lpstr>Participación</vt:lpstr>
      <vt:lpstr>Comparativa</vt:lpstr>
      <vt:lpstr>Gráficos</vt:lpstr>
      <vt:lpstr>Datos puntos</vt:lpstr>
      <vt:lpstr>Hoja2</vt:lpstr>
      <vt:lpstr>'01_RS ALCARRIA'!Área_de_impresión</vt:lpstr>
      <vt:lpstr>'02_TCT GUADAMUR'!Área_de_impresión</vt:lpstr>
      <vt:lpstr>'03_TCT MAQUEDA'!Área_de_impresión</vt:lpstr>
      <vt:lpstr>'04_RALLYE CAM'!Área_de_impresión</vt:lpstr>
      <vt:lpstr>'05_RS NAVALCARNERO'!Área_de_impresión</vt:lpstr>
      <vt:lpstr>'06_TCT NUEVO BAZTÁN'!Área_de_impresión</vt:lpstr>
      <vt:lpstr>CLASIFICACIÓN!Área_de_impresión</vt:lpstr>
      <vt:lpstr>Comparativa!Área_de_impresión</vt:lpstr>
      <vt:lpstr>FINAL!Área_de_impresión</vt:lpstr>
      <vt:lpstr>Gráficos!Área_de_impresión</vt:lpstr>
      <vt:lpstr>'POST ALCARRIA PARA WEB'!Área_de_impresión</vt:lpstr>
      <vt:lpstr>'POST GUADAMUR PARA WEB'!Área_de_impresión</vt:lpstr>
      <vt:lpstr>'POST MAQUEDA PARA WEB'!Área_de_impresión</vt:lpstr>
      <vt:lpstr>CLASIFICACIÓN!Print_Area</vt:lpstr>
      <vt:lpstr>FINAL!Print_Area</vt:lpstr>
      <vt:lpstr>'POST ALCARRIA PARA WEB'!Print_Area</vt:lpstr>
      <vt:lpstr>'POST GUADAMUR PARA WEB'!Print_Area</vt:lpstr>
      <vt:lpstr>'POST MAQUEDA PARA WEB'!Print_Area</vt:lpstr>
      <vt:lpstr>'01_RS ALCARRIA'!Títulos_a_imprimir</vt:lpstr>
      <vt:lpstr>'02_TCT GUADAMUR'!Títulos_a_imprimir</vt:lpstr>
      <vt:lpstr>'03_TCT MAQUEDA'!Títulos_a_imprimir</vt:lpstr>
      <vt:lpstr>'04_RALLYE CAM'!Títulos_a_imprimir</vt:lpstr>
      <vt:lpstr>'05_RS NAVALCARNERO'!Títulos_a_imprimir</vt:lpstr>
      <vt:lpstr>'06_TCT NUEVO BAZTÁN'!Títulos_a_imprimir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Deportivo</dc:creator>
  <cp:lastModifiedBy>Alberto Lindon Fernandez</cp:lastModifiedBy>
  <cp:lastPrinted>2025-03-13T12:32:49Z</cp:lastPrinted>
  <dcterms:created xsi:type="dcterms:W3CDTF">2016-03-09T18:02:40Z</dcterms:created>
  <dcterms:modified xsi:type="dcterms:W3CDTF">2026-09-23T16:13:48Z</dcterms:modified>
</cp:coreProperties>
</file>